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umptions &amp; Data" sheetId="1" state="visible" r:id="rId3"/>
    <sheet name="Financial Analysis" sheetId="2" state="visible" r:id="rId4"/>
    <sheet name="Diagnosis &amp; Store Segmentation" sheetId="3" state="visible" r:id="rId5"/>
    <sheet name="Business Case &amp; Scenarios" sheetId="4" state="visible" r:id="rId6"/>
    <sheet name="Execution &amp; KPI Governance" sheetId="5" state="visible" r:id="rId7"/>
  </sheets>
  <definedNames>
    <definedName function="false" hidden="true" localSheetId="0" name="_xlnm._FilterDatabase" vbProcedure="false">'Assumptions &amp; Data'!$A$204:$W$924</definedName>
    <definedName function="false" hidden="true" localSheetId="3" name="_xlnm._FilterDatabase" vbProcedure="false">'Business Case &amp; Scenarios'!$A$175:$AL$235</definedName>
    <definedName function="false" hidden="true" localSheetId="2" name="_xlnm._FilterDatabase" vbProcedure="false">'Diagnosis &amp; Store Segmentation'!$A$105:$BY$165</definedName>
    <definedName function="false" hidden="true" localSheetId="1" name="_xlnm._FilterDatabase" vbProcedure="false">'Financial Analysis'!$A$70:$Y$790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<sst xmlns="http://schemas.openxmlformats.org/spreadsheetml/2006/main" count="3127" uniqueCount="1816">
  <si>
    <t xml:space="preserve">CASE STUDY 01 | Quick-Commerce Profitability Transformation — Supporting Workbook</t>
  </si>
  <si>
    <t xml:space="preserve">Independent fictional consulting simulation based on publicly available Indian quick-commerce industry research, simulated management datasets and business analysis.</t>
  </si>
  <si>
    <t xml:space="preserve">Colour code: blue = hard-coded input / simulated data; black = formula; green = link from another table or sheet; yellow fill = key assumption. No affiliation with or endorsement by any consulting firm or listed company is implied.</t>
  </si>
  <si>
    <t xml:space="preserve">Sheets: 1 Assumptions &amp; Data | 2 Financial Analysis | 3 Diagnosis &amp; Store Segmentation | 4 Business Case &amp; Scenarios | 5 Execution &amp; KPI Governance. This workbook is the single source of truth for every figure in the PDF.</t>
  </si>
  <si>
    <t xml:space="preserve">A. Metric definitions (used consistently across all sheets)</t>
  </si>
  <si>
    <t xml:space="preserve">Metric</t>
  </si>
  <si>
    <t xml:space="preserve">Definition</t>
  </si>
  <si>
    <t xml:space="preserve">GOV</t>
  </si>
  <si>
    <t xml:space="preserve">Gross order value = orders x gross basket value (AOV) before discounts. Excludes fees.</t>
  </si>
  <si>
    <t xml:space="preserve">Discount</t>
  </si>
  <si>
    <t xml:space="preserve">Customer-funded promotions and coupons absorbed by the operator (₹), expressed as % of GOV.</t>
  </si>
  <si>
    <t xml:space="preserve">NOV</t>
  </si>
  <si>
    <t xml:space="preserve">Net order value = GOV − discounts. Revenue base used for % ratios (operator-defined; not equal to statutory revenue).</t>
  </si>
  <si>
    <t xml:space="preserve">Gross margin</t>
  </si>
  <si>
    <t xml:space="preserve">Product margin / commission on NOV, before wastage (blended 1P + marketplace take rate).</t>
  </si>
  <si>
    <t xml:space="preserve">Fee &amp; ad income</t>
  </si>
  <si>
    <t xml:space="preserve">Delivery, handling and small-basket fees (₹/order) plus brand advertising income (% NOV).</t>
  </si>
  <si>
    <t xml:space="preserve">Net revenue after wastage</t>
  </si>
  <si>
    <t xml:space="preserve">Gross margin + fee income + ad income − wastage (expired / damaged / shrink stock).</t>
  </si>
  <si>
    <t xml:space="preserve">Variable cost</t>
  </si>
  <si>
    <t xml:space="preserve">Last-mile delivery + pick-pack-packaging (₹/order) + payment &amp; other (% NOV).</t>
  </si>
  <si>
    <t xml:space="preserve">Contribution</t>
  </si>
  <si>
    <t xml:space="preserve">Net revenue after wastage − variable cost. Store-level, before fixed store costs.</t>
  </si>
  <si>
    <t xml:space="preserve">Fixed store cost</t>
  </si>
  <si>
    <t xml:space="preserve">Manpower (FTE x loaded cost) + rent + utilities &amp; other store opex + local marketing.</t>
  </si>
  <si>
    <t xml:space="preserve">Store EBITDA</t>
  </si>
  <si>
    <t xml:space="preserve">Contribution − fixed store cost. Excludes central overheads, corporate marketing, technology and depreciation (disclosed limitation).</t>
  </si>
  <si>
    <t xml:space="preserve">Run-rate quarter</t>
  </si>
  <si>
    <t xml:space="preserve">Jul–Sep 2026 (Q2 FY27), the latest closed quarter; used for classification and the business case.</t>
  </si>
  <si>
    <t xml:space="preserve">Comparability</t>
  </si>
  <si>
    <t xml:space="preserve">Simulated store EBITDA is NOT the same measure as company-reported adjusted EBITDA or contribution margin (those include central costs and differ by company). Public figures are context only.</t>
  </si>
  <si>
    <t xml:space="preserve">B. Public industry context (facts only; not used as client data)</t>
  </si>
  <si>
    <t xml:space="preserve">Reliability: P = company disclosure as reported by press; S = secondary analyst/blog; I = indicative, unverified third-party model. Metric definitions differ by company.</t>
  </si>
  <si>
    <t xml:space="preserve">Company / topic</t>
  </si>
  <si>
    <t xml:space="preserve">Value</t>
  </si>
  <si>
    <t xml:space="preserve">Period</t>
  </si>
  <si>
    <t xml:space="preserve">Source (publisher, date)</t>
  </si>
  <si>
    <t xml:space="preserve">Rel.</t>
  </si>
  <si>
    <t xml:space="preserve">Definition / caveat</t>
  </si>
  <si>
    <t xml:space="preserve">Blinkit (Eternal)</t>
  </si>
  <si>
    <t xml:space="preserve">Revenue</t>
  </si>
  <si>
    <t xml:space="preserve">₹19,152 cr (+94% YoY)</t>
  </si>
  <si>
    <t xml:space="preserve">Q2 FY27 (Sep-26)</t>
  </si>
  <si>
    <t xml:space="preserve">MediaNama 22-Oct-2026; Business Standard 22-Oct-2026</t>
  </si>
  <si>
    <t xml:space="preserve">P</t>
  </si>
  <si>
    <t xml:space="preserve">Segment revenue as reported</t>
  </si>
  <si>
    <t xml:space="preserve">Adjusted EBITDA</t>
  </si>
  <si>
    <t xml:space="preserve">₹184 cr vs −₹156 cr in Q2 FY26</t>
  </si>
  <si>
    <t xml:space="preserve">Q2 FY27</t>
  </si>
  <si>
    <t xml:space="preserve">MediaNama / Business Standard, Oct-2026</t>
  </si>
  <si>
    <t xml:space="preserve">Company-defined adjusted EBITDA; overall margin reported as below 1% (CIOL, 22-Oct-2026)</t>
  </si>
  <si>
    <t xml:space="preserve">Dark stores</t>
  </si>
  <si>
    <t xml:space="preserve">2,751 (+308 net in quarter); target 3,500 by Mar-27, 5,000 by Mar-28</t>
  </si>
  <si>
    <t xml:space="preserve">MediaNama; CIOL, Oct-2026</t>
  </si>
  <si>
    <t xml:space="preserve">Net additions in quarter</t>
  </si>
  <si>
    <t xml:space="preserve">Mature-city economics</t>
  </si>
  <si>
    <t xml:space="preserve">Adj. EBITDA margin &gt;5% in mature cities; cities ~96% of NOV contribution-positive; ~70% of NOV adj.-EBITDA-positive</t>
  </si>
  <si>
    <t xml:space="preserve">CIOL / Indian Startup News, Oct-2026 (Eternal shareholder letter)</t>
  </si>
  <si>
    <t xml:space="preserve">Shows dispersion by city maturity: profitability is not uniform across the network</t>
  </si>
  <si>
    <t xml:space="preserve">New small-city stores</t>
  </si>
  <si>
    <t xml:space="preserve">~1,000 orders/day reached in time comparable to metro stores</t>
  </si>
  <si>
    <t xml:space="preserve">CIOL, Oct-2026</t>
  </si>
  <si>
    <t xml:space="preserve">Management statement</t>
  </si>
  <si>
    <t xml:space="preserve">AOV</t>
  </si>
  <si>
    <t xml:space="preserve">₹669</t>
  </si>
  <si>
    <t xml:space="preserve">Q1 FY26 (Jun-25)</t>
  </si>
  <si>
    <t xml:space="preserve">Business Standard, 21-Jul-2025</t>
  </si>
  <si>
    <t xml:space="preserve">Gross basket</t>
  </si>
  <si>
    <t xml:space="preserve">Swiggy Instamart</t>
  </si>
  <si>
    <t xml:space="preserve">Adj. EBITDA / margin</t>
  </si>
  <si>
    <t xml:space="preserve">Loss ₹895 cr; −9.7% of GOV</t>
  </si>
  <si>
    <t xml:space="preserve">Business Standard 22-Oct-2026; CIOL</t>
  </si>
  <si>
    <t xml:space="preserve">Company-defined; % of GOV</t>
  </si>
  <si>
    <t xml:space="preserve">Contribution margin</t>
  </si>
  <si>
    <t xml:space="preserve">−1.0% of GOV (−0.2% in Q1 FY27)</t>
  </si>
  <si>
    <t xml:space="preserve">Business Standard; INDmoney, Oct-2026</t>
  </si>
  <si>
    <t xml:space="preserve">Company-defined</t>
  </si>
  <si>
    <t xml:space="preserve">Network &amp; orders</t>
  </si>
  <si>
    <t xml:space="preserve">1,240 dark stores in 133 cities (+69); ~130 mn orders (+29.3% YoY); GOV ₹9,230 cr</t>
  </si>
  <si>
    <t xml:space="preserve">BW Disrupt; productgrowth.in (Inc42-based), Oct-2026</t>
  </si>
  <si>
    <t xml:space="preserve">P/S</t>
  </si>
  <si>
    <t xml:space="preserve">NOV reported as ₹6,594 cr by most outlets; one outlet printed ₹6,954 cr — discrepancy noted, ₹6,594 cr used</t>
  </si>
  <si>
    <t xml:space="preserve">₹697 (+39.7% YoY)</t>
  </si>
  <si>
    <t xml:space="preserve">Q2 FY26 (Sep-25)</t>
  </si>
  <si>
    <t xml:space="preserve">Business Standard, 30-Oct-2025</t>
  </si>
  <si>
    <t xml:space="preserve">Gross basket; driven by basket-building and non-grocery</t>
  </si>
  <si>
    <t xml:space="preserve">Management guidance</t>
  </si>
  <si>
    <t xml:space="preserve">Inventory-model shift expected to add ~80 bps contribution margin; losses expected to have peaked in Q2 FY27</t>
  </si>
  <si>
    <t xml:space="preserve">Forward-looking company statement, not a fact</t>
  </si>
  <si>
    <t xml:space="preserve">Zepto</t>
  </si>
  <si>
    <t xml:space="preserve">FY26 financials</t>
  </si>
  <si>
    <t xml:space="preserve">Revenue ₹22,624 cr; adj. EBITDA loss ₹5,042 cr (−20.3% of revenue); net loss ₹5,905 cr</t>
  </si>
  <si>
    <t xml:space="preserve">FY26 (Mar-26)</t>
  </si>
  <si>
    <t xml:space="preserve">Updated DRHP (Jun-2026) as reported by Outlook Business, newboard.in</t>
  </si>
  <si>
    <t xml:space="preserve">Adj. EBITDA % of revenue; Q4 FY26 −15.3%</t>
  </si>
  <si>
    <t xml:space="preserve">Scale &amp; unit loss</t>
  </si>
  <si>
    <t xml:space="preserve">1,139 dark stores; ~640 mn orders; adj. EBITDA loss ₹79/order (₹136 in FY25); 110 store adds in FY26 vs 692 in FY25</t>
  </si>
  <si>
    <t xml:space="preserve">FY26</t>
  </si>
  <si>
    <t xml:space="preserve">newboard.in; startupfeed.in (DRHP-based)</t>
  </si>
  <si>
    <t xml:space="preserve">S</t>
  </si>
  <si>
    <t xml:space="preserve">Store-add slowdown shows pivot from growth to productivity</t>
  </si>
  <si>
    <t xml:space="preserve">Ad income</t>
  </si>
  <si>
    <t xml:space="preserve">₹1,636 cr (+151%)</t>
  </si>
  <si>
    <t xml:space="preserve">BigGo Finance citing updated DRHP</t>
  </si>
  <si>
    <t xml:space="preserve">Ads carry a disproportionate share of margin</t>
  </si>
  <si>
    <t xml:space="preserve">Industry</t>
  </si>
  <si>
    <t xml:space="preserve">Contribution-positive threshold (metros)</t>
  </si>
  <si>
    <t xml:space="preserve">~₹500+ AOV and ~1,200–1,400 orders/store/day</t>
  </si>
  <si>
    <t xml:space="preserve">2026</t>
  </si>
  <si>
    <t xml:space="preserve">Redseer as cited by nrdbrandaxis.in</t>
  </si>
  <si>
    <t xml:space="preserve">Varies by market and store maturity</t>
  </si>
  <si>
    <t xml:space="preserve">Tier-2 breakeven</t>
  </si>
  <si>
    <t xml:space="preserve">~800 orders/day</t>
  </si>
  <si>
    <t xml:space="preserve">Late 2025</t>
  </si>
  <si>
    <t xml:space="preserve">Business Standard/Bloomberg as cited by india-marketing.jp</t>
  </si>
  <si>
    <t xml:space="preserve">Lower rent and competition</t>
  </si>
  <si>
    <t xml:space="preserve">Delivery cost per order</t>
  </si>
  <si>
    <t xml:space="preserve">₹18–35 optimised batching vs ₹40–80 typical range</t>
  </si>
  <si>
    <t xml:space="preserve">2025–26</t>
  </si>
  <si>
    <t xml:space="preserve">Base blog; qcommerceguide.com</t>
  </si>
  <si>
    <t xml:space="preserve">I</t>
  </si>
  <si>
    <t xml:space="preserve">Secondary blogs; indicative only</t>
  </si>
  <si>
    <t xml:space="preserve">Instamart implied throughput</t>
  </si>
  <si>
    <t xml:space="preserve">~1,075 orders/store/day (Q1 FY27)</t>
  </si>
  <si>
    <t xml:space="preserve">Q1 FY27</t>
  </si>
  <si>
    <t xml:space="preserve">Third-party GitHub model from company disclosures</t>
  </si>
  <si>
    <t xml:space="preserve">Unverified; cross-check: Q2 FY27 ~130 mn orders / 1,240 stores / 92 days ≈ 1,140</t>
  </si>
  <si>
    <t xml:space="preserve">C. Data Request List (issued before simulation) — status of each item in this simulation</t>
  </si>
  <si>
    <t xml:space="preserve">#</t>
  </si>
  <si>
    <t xml:space="preserve">Domain</t>
  </si>
  <si>
    <t xml:space="preserve">Dataset / fields requested</t>
  </si>
  <si>
    <t xml:space="preserve">Granularity</t>
  </si>
  <si>
    <t xml:space="preserve">Used for</t>
  </si>
  <si>
    <t xml:space="preserve">Status</t>
  </si>
  <si>
    <t xml:space="preserve">Limitation</t>
  </si>
  <si>
    <t xml:space="preserve">Store master</t>
  </si>
  <si>
    <t xml:space="preserve">Store ID, city, micro-market, opening date, area, rent, lock-in, capex, design capacity</t>
  </si>
  <si>
    <t xml:space="preserve">Store</t>
  </si>
  <si>
    <t xml:space="preserve">Segmentation, exit cost</t>
  </si>
  <si>
    <t xml:space="preserve">Simulated (Section I)</t>
  </si>
  <si>
    <t xml:space="preserve">Capex and capacity are estimates</t>
  </si>
  <si>
    <t xml:space="preserve">Monthly store P&amp;L</t>
  </si>
  <si>
    <t xml:space="preserve">Orders, GOV, discounts, margin, fees, ads, wastage, delivery, pick-pack, FTE, rent, utilities, marketing</t>
  </si>
  <si>
    <t xml:space="preserve">Store x month, 12 months</t>
  </si>
  <si>
    <t xml:space="preserve">Profit diagnosis</t>
  </si>
  <si>
    <t xml:space="preserve">Simulated (Section J)</t>
  </si>
  <si>
    <t xml:space="preserve">12 months only; no seasonality beyond one cycle</t>
  </si>
  <si>
    <t xml:space="preserve">Customer behaviour</t>
  </si>
  <si>
    <t xml:space="preserve">Orders by new / repeat / loyal cohort; repeat share by store</t>
  </si>
  <si>
    <t xml:space="preserve">Cohort; store-month</t>
  </si>
  <si>
    <t xml:space="preserve">Retention, discount dependency</t>
  </si>
  <si>
    <t xml:space="preserve">Simulated (Sections G, J)</t>
  </si>
  <si>
    <t xml:space="preserve">No customer-level IDs, so LTV / CAC payback not testable</t>
  </si>
  <si>
    <t xml:space="preserve">Basket economics</t>
  </si>
  <si>
    <t xml:space="preserve">Order distribution by basket-value band with per-order cost lines</t>
  </si>
  <si>
    <t xml:space="preserve">Band (network)</t>
  </si>
  <si>
    <t xml:space="preserve">Small-basket profitability</t>
  </si>
  <si>
    <t xml:space="preserve">Simulated (Section F)</t>
  </si>
  <si>
    <t xml:space="preserve">Band cost split is allocated, not measured</t>
  </si>
  <si>
    <t xml:space="preserve">Discounts</t>
  </si>
  <si>
    <t xml:space="preserve">Discount ₹ and % by store and band</t>
  </si>
  <si>
    <t xml:space="preserve">Store-month; band</t>
  </si>
  <si>
    <t xml:space="preserve">Discount leakage</t>
  </si>
  <si>
    <t xml:space="preserve">Simulated</t>
  </si>
  <si>
    <t xml:space="preserve">Campaign-level ROI not available</t>
  </si>
  <si>
    <t xml:space="preserve">SKU / category</t>
  </si>
  <si>
    <t xml:space="preserve">NOV, margin, wastage, stockout, SKUs, days of inventory by category and store-volume tier</t>
  </si>
  <si>
    <t xml:space="preserve">Category x tier</t>
  </si>
  <si>
    <t xml:space="preserve">Inventory efficiency</t>
  </si>
  <si>
    <t xml:space="preserve">Simulated (Section H)</t>
  </si>
  <si>
    <t xml:space="preserve">No SKU-level data; category view only</t>
  </si>
  <si>
    <t xml:space="preserve">Inventory &amp; stockouts</t>
  </si>
  <si>
    <t xml:space="preserve">Stockout rate; wastage % by store</t>
  </si>
  <si>
    <t xml:space="preserve">Store-month</t>
  </si>
  <si>
    <t xml:space="preserve">Availability and wastage</t>
  </si>
  <si>
    <t xml:space="preserve">Stockout measured as % of order lines</t>
  </si>
  <si>
    <t xml:space="preserve">Manpower</t>
  </si>
  <si>
    <t xml:space="preserve">FTE, loaded cost per FTE</t>
  </si>
  <si>
    <t xml:space="preserve">Productivity</t>
  </si>
  <si>
    <t xml:space="preserve">No shift-level rosters or attrition data</t>
  </si>
  <si>
    <t xml:space="preserve">Delivery &amp; fulfilment</t>
  </si>
  <si>
    <t xml:space="preserve">Delivery cost/order, delivery time, on-time %</t>
  </si>
  <si>
    <t xml:space="preserve">Fulfilment efficiency</t>
  </si>
  <si>
    <t xml:space="preserve">No rider-level utilisation or batching data</t>
  </si>
  <si>
    <t xml:space="preserve">Marketing</t>
  </si>
  <si>
    <t xml:space="preserve">Local marketing spend</t>
  </si>
  <si>
    <t xml:space="preserve">Acquisition cost</t>
  </si>
  <si>
    <t xml:space="preserve">Central marketing excluded</t>
  </si>
  <si>
    <t xml:space="preserve">Catchment</t>
  </si>
  <si>
    <t xml:space="preserve">Households, distance to nearest own store, shared catchment</t>
  </si>
  <si>
    <t xml:space="preserve">Network economics</t>
  </si>
  <si>
    <t xml:space="preserve">Households estimated, no pin-code demand map</t>
  </si>
  <si>
    <t xml:space="preserve">Network</t>
  </si>
  <si>
    <t xml:space="preserve">Nearest store ID, design capacity</t>
  </si>
  <si>
    <t xml:space="preserve">Demand-transfer test for closures</t>
  </si>
  <si>
    <t xml:space="preserve">Transfer rates are assumptions, to be validated by pilot</t>
  </si>
  <si>
    <t xml:space="preserve">Rent market data</t>
  </si>
  <si>
    <t xml:space="preserve">Broker-quoted market rent by city and micro-market</t>
  </si>
  <si>
    <t xml:space="preserve">City x micro-market</t>
  </si>
  <si>
    <t xml:space="preserve">Rent gap</t>
  </si>
  <si>
    <t xml:space="preserve">Simulated (Section E)</t>
  </si>
  <si>
    <t xml:space="preserve">Quotes indicative</t>
  </si>
  <si>
    <t xml:space="preserve">Not requested / not available</t>
  </si>
  <si>
    <t xml:space="preserve">Central overhead, capex payback by store, competitor store map, price elasticity study</t>
  </si>
  <si>
    <t xml:space="preserve">—</t>
  </si>
  <si>
    <t xml:space="preserve">Gap</t>
  </si>
  <si>
    <t xml:space="preserve">Elasticity and transfer rates are assumed and flagged for pilot validation</t>
  </si>
  <si>
    <t xml:space="preserve">D. Model thresholds and global assumptions (blue = editable input)</t>
  </si>
  <si>
    <t xml:space="preserve">Key</t>
  </si>
  <si>
    <t xml:space="preserve">Parameter</t>
  </si>
  <si>
    <t xml:space="preserve">Unit</t>
  </si>
  <si>
    <t xml:space="preserve">Rationale</t>
  </si>
  <si>
    <t xml:space="preserve">qs</t>
  </si>
  <si>
    <t xml:space="preserve">Run-rate quarter start</t>
  </si>
  <si>
    <t xml:space="preserve">date</t>
  </si>
  <si>
    <t xml:space="preserve">Latest closed quarter</t>
  </si>
  <si>
    <t xml:space="preserve">dq</t>
  </si>
  <si>
    <t xml:space="preserve">Days in run-rate quarter</t>
  </si>
  <si>
    <t xml:space="preserve">days</t>
  </si>
  <si>
    <t xml:space="preserve">Jul–Sep</t>
  </si>
  <si>
    <t xml:space="preserve">mature</t>
  </si>
  <si>
    <t xml:space="preserve">Mature store age (months)</t>
  </si>
  <si>
    <t xml:space="preserve">months</t>
  </si>
  <si>
    <t xml:space="preserve">Stores older than this are used to set peer benchmarks</t>
  </si>
  <si>
    <t xml:space="preserve">thr_se</t>
  </si>
  <si>
    <t xml:space="preserve">Scale: minimum EBITDA % of NOV</t>
  </si>
  <si>
    <t xml:space="preserve">%</t>
  </si>
  <si>
    <t xml:space="preserve">Profitable with buffer</t>
  </si>
  <si>
    <t xml:space="preserve">thr_sh</t>
  </si>
  <si>
    <t xml:space="preserve">Scale: minimum demand headroom</t>
  </si>
  <si>
    <t xml:space="preserve">Unused catchment potential vs current orders</t>
  </si>
  <si>
    <t xml:space="preserve">creal</t>
  </si>
  <si>
    <t xml:space="preserve">Classification: realisation of controllable fixes</t>
  </si>
  <si>
    <t xml:space="preserve">Haircut so classification does not rely on full benchmark capture</t>
  </si>
  <si>
    <t xml:space="preserve">celas</t>
  </si>
  <si>
    <t xml:space="preserve">Classification: order loss per 1pt discount cut</t>
  </si>
  <si>
    <t xml:space="preserve">% orders</t>
  </si>
  <si>
    <t xml:space="preserve">Assumed; to be measured in pilot</t>
  </si>
  <si>
    <t xml:space="preserve">capm</t>
  </si>
  <si>
    <t xml:space="preserve">Demand capture of headroom — mature stores</t>
  </si>
  <si>
    <t xml:space="preserve">Conservative</t>
  </si>
  <si>
    <t xml:space="preserve">capr</t>
  </si>
  <si>
    <t xml:space="preserve">Demand capture of headroom — ramping stores (&lt;12m)</t>
  </si>
  <si>
    <t xml:space="preserve">Ramp curve drives most of the gap</t>
  </si>
  <si>
    <t xml:space="preserve">ilab</t>
  </si>
  <si>
    <t xml:space="preserve">Incremental labour cost per incremental order</t>
  </si>
  <si>
    <t xml:space="preserve">₹</t>
  </si>
  <si>
    <t xml:space="preserve">Pickers scale partly with volume</t>
  </si>
  <si>
    <t xml:space="preserve">othr</t>
  </si>
  <si>
    <t xml:space="preserve">Overlap threshold: distance to own store</t>
  </si>
  <si>
    <t xml:space="preserve">km</t>
  </si>
  <si>
    <t xml:space="preserve">Below this, catchments are shared</t>
  </si>
  <si>
    <t xml:space="preserve">omax</t>
  </si>
  <si>
    <t xml:space="preserve">Maximum shared-catchment share at zero distance</t>
  </si>
  <si>
    <t xml:space="preserve">Households contested by the neighbouring own store</t>
  </si>
  <si>
    <t xml:space="preserve">cdist</t>
  </si>
  <si>
    <t xml:space="preserve">Closure: max distance to absorbing store</t>
  </si>
  <si>
    <t xml:space="preserve">Customer-impact guardrail (rider radius)</t>
  </si>
  <si>
    <t xml:space="preserve">cpay</t>
  </si>
  <si>
    <t xml:space="preserve">Closure: maximum payback for classification</t>
  </si>
  <si>
    <t xml:space="preserve">Exit cost / monthly net benefit</t>
  </si>
  <si>
    <t xml:space="preserve">trans</t>
  </si>
  <si>
    <t xml:space="preserve">Closure: share of orders transferred to neighbour (classification)</t>
  </si>
  <si>
    <t xml:space="preserve">Assumed; pilot-validated before execution</t>
  </si>
  <si>
    <t xml:space="preserve">sutil</t>
  </si>
  <si>
    <t xml:space="preserve">Neighbour usable capacity (% of design capacity)</t>
  </si>
  <si>
    <t xml:space="preserve">Service-level headroom</t>
  </si>
  <si>
    <t xml:space="preserve">xtol</t>
  </si>
  <si>
    <t xml:space="preserve">Excess-area tolerance</t>
  </si>
  <si>
    <t xml:space="preserve">Area above need below this is ignored</t>
  </si>
  <si>
    <t xml:space="preserve">relig</t>
  </si>
  <si>
    <t xml:space="preserve">Rent lever eligible if lock-in remaining ≤</t>
  </si>
  <si>
    <t xml:space="preserve">Only leases actionable in the 12-month plan</t>
  </si>
  <si>
    <t xml:space="preserve">sevm</t>
  </si>
  <si>
    <t xml:space="preserve">Severance + notice per exiting FTE</t>
  </si>
  <si>
    <t xml:space="preserve">months of cost</t>
  </si>
  <si>
    <t xml:space="preserve">Assumption</t>
  </si>
  <si>
    <t xml:space="preserve">redep</t>
  </si>
  <si>
    <t xml:space="preserve">Closed-store FTE redeployed to neighbours</t>
  </si>
  <si>
    <t xml:space="preserve">brk</t>
  </si>
  <si>
    <t xml:space="preserve">Lease break cost</t>
  </si>
  <si>
    <t xml:space="preserve">% of remaining lock-in rent</t>
  </si>
  <si>
    <t xml:space="preserve">rest</t>
  </si>
  <si>
    <t xml:space="preserve">Restoration / hand-back cost</t>
  </si>
  <si>
    <t xml:space="preserve">₹/sq ft</t>
  </si>
  <si>
    <t xml:space="preserve">dep</t>
  </si>
  <si>
    <t xml:space="preserve">Fit-out depreciation life</t>
  </si>
  <si>
    <t xml:space="preserve">Used for non-cash write-off only</t>
  </si>
  <si>
    <t xml:space="preserve">qtr_m</t>
  </si>
  <si>
    <t xml:space="preserve">Months in run-rate quarter</t>
  </si>
  <si>
    <t xml:space="preserve">E. Market rent benchmark (₹ per sq ft per month; simulated broker quotes)</t>
  </si>
  <si>
    <t xml:space="preserve">City</t>
  </si>
  <si>
    <t xml:space="preserve">Dense residential</t>
  </si>
  <si>
    <t xml:space="preserve">Mixed use</t>
  </si>
  <si>
    <t xml:space="preserve">Commercial / office</t>
  </si>
  <si>
    <t xml:space="preserve">Peripheral / emerging</t>
  </si>
  <si>
    <t xml:space="preserve">Delhi NCR</t>
  </si>
  <si>
    <t xml:space="preserve">Mumbai MMR</t>
  </si>
  <si>
    <t xml:space="preserve">Bengaluru</t>
  </si>
  <si>
    <t xml:space="preserve">Hyderabad</t>
  </si>
  <si>
    <t xml:space="preserve">Pune</t>
  </si>
  <si>
    <t xml:space="preserve">Jaipur</t>
  </si>
  <si>
    <t xml:space="preserve">F. Basket-value bands (customer &amp; basket profitability)</t>
  </si>
  <si>
    <t xml:space="preserve">Basket band</t>
  </si>
  <si>
    <t xml:space="preserve">Orders (000)</t>
  </si>
  <si>
    <t xml:space="preserve">Fee income</t>
  </si>
  <si>
    <t xml:space="preserve">Wastage</t>
  </si>
  <si>
    <t xml:space="preserve">Delivery</t>
  </si>
  <si>
    <t xml:space="preserve">Pick-pack</t>
  </si>
  <si>
    <t xml:space="preserve">Payment &amp; other</t>
  </si>
  <si>
    <t xml:space="preserve">Contribution ₹/order</t>
  </si>
  <si>
    <t xml:space="preserve">Disc % GOV</t>
  </si>
  <si>
    <t xml:space="preserve">&lt; ₹250</t>
  </si>
  <si>
    <t xml:space="preserve">₹250–400</t>
  </si>
  <si>
    <t xml:space="preserve">₹400–650</t>
  </si>
  <si>
    <t xml:space="preserve">₹650–1,000</t>
  </si>
  <si>
    <t xml:space="preserve">&gt; ₹1,000</t>
  </si>
  <si>
    <t xml:space="preserve">Total</t>
  </si>
  <si>
    <t xml:space="preserve">G. Customer cohorts (retention and discount dependency)</t>
  </si>
  <si>
    <t xml:space="preserve">Cohort</t>
  </si>
  <si>
    <t xml:space="preserve">New (first 30 days)</t>
  </si>
  <si>
    <t xml:space="preserve">Repeat (2–4 orders/month)</t>
  </si>
  <si>
    <t xml:space="preserve">Loyal (5+ orders/month)</t>
  </si>
  <si>
    <t xml:space="preserve">H. Category x store-volume tier (SKU performance, inventory, stockouts, wastage)</t>
  </si>
  <si>
    <t xml:space="preserve">Category</t>
  </si>
  <si>
    <t xml:space="preserve">Tier</t>
  </si>
  <si>
    <t xml:space="preserve">Stockout % lines</t>
  </si>
  <si>
    <t xml:space="preserve">Active SKUs</t>
  </si>
  <si>
    <t xml:space="preserve">Days inventory</t>
  </si>
  <si>
    <t xml:space="preserve">GM % NOV</t>
  </si>
  <si>
    <t xml:space="preserve">Wastage % NOV</t>
  </si>
  <si>
    <t xml:space="preserve">GM after wastage % NOV</t>
  </si>
  <si>
    <t xml:space="preserve">Fruits &amp; vegetables</t>
  </si>
  <si>
    <t xml:space="preserve">Low</t>
  </si>
  <si>
    <t xml:space="preserve">Dairy, bread &amp; eggs</t>
  </si>
  <si>
    <t xml:space="preserve">Staples &amp; oils</t>
  </si>
  <si>
    <t xml:space="preserve">Snacks &amp; beverages</t>
  </si>
  <si>
    <t xml:space="preserve">Packaged food</t>
  </si>
  <si>
    <t xml:space="preserve">Personal &amp; home care</t>
  </si>
  <si>
    <t xml:space="preserve">Frozen &amp; ice cream</t>
  </si>
  <si>
    <t xml:space="preserve">General merchandise</t>
  </si>
  <si>
    <t xml:space="preserve">Mid</t>
  </si>
  <si>
    <t xml:space="preserve">High</t>
  </si>
  <si>
    <t xml:space="preserve">I. Store master (simulated; 60 dark stores, 6 cities — Phase-1 diagnostic perimeter)</t>
  </si>
  <si>
    <t xml:space="preserve">Store ID</t>
  </si>
  <si>
    <t xml:space="preserve">Micro-market</t>
  </si>
  <si>
    <t xml:space="preserve">Age at Sep-26 (months)</t>
  </si>
  <si>
    <t xml:space="preserve">Catchment households (000)</t>
  </si>
  <si>
    <t xml:space="preserve">Nearest own store</t>
  </si>
  <si>
    <t xml:space="preserve">Distance to nearest own store (km)</t>
  </si>
  <si>
    <t xml:space="preserve">Area (sq ft)</t>
  </si>
  <si>
    <t xml:space="preserve">Rent (₹/sq ft/month)</t>
  </si>
  <si>
    <t xml:space="preserve">Lease lock-in remaining (months)</t>
  </si>
  <si>
    <t xml:space="preserve">Design capacity (orders/day)</t>
  </si>
  <si>
    <t xml:space="preserve">Capex invested (₹ lakh)</t>
  </si>
  <si>
    <t xml:space="preserve">DS001</t>
  </si>
  <si>
    <t xml:space="preserve">DS011</t>
  </si>
  <si>
    <t xml:space="preserve">DS002</t>
  </si>
  <si>
    <t xml:space="preserve">DS008</t>
  </si>
  <si>
    <t xml:space="preserve">DS003</t>
  </si>
  <si>
    <t xml:space="preserve">DS013</t>
  </si>
  <si>
    <t xml:space="preserve">DS004</t>
  </si>
  <si>
    <t xml:space="preserve">DS012</t>
  </si>
  <si>
    <t xml:space="preserve">DS005</t>
  </si>
  <si>
    <t xml:space="preserve">DS006</t>
  </si>
  <si>
    <t xml:space="preserve">DS007</t>
  </si>
  <si>
    <t xml:space="preserve">DS010</t>
  </si>
  <si>
    <t xml:space="preserve">DS009</t>
  </si>
  <si>
    <t xml:space="preserve">DS014</t>
  </si>
  <si>
    <t xml:space="preserve">DS015</t>
  </si>
  <si>
    <t xml:space="preserve">DS026</t>
  </si>
  <si>
    <t xml:space="preserve">DS016</t>
  </si>
  <si>
    <t xml:space="preserve">DS022</t>
  </si>
  <si>
    <t xml:space="preserve">DS017</t>
  </si>
  <si>
    <t xml:space="preserve">DS019</t>
  </si>
  <si>
    <t xml:space="preserve">DS018</t>
  </si>
  <si>
    <t xml:space="preserve">DS020</t>
  </si>
  <si>
    <t xml:space="preserve">DS021</t>
  </si>
  <si>
    <t xml:space="preserve">DS024</t>
  </si>
  <si>
    <t xml:space="preserve">DS023</t>
  </si>
  <si>
    <t xml:space="preserve">DS025</t>
  </si>
  <si>
    <t xml:space="preserve">DS027</t>
  </si>
  <si>
    <t xml:space="preserve">DS030</t>
  </si>
  <si>
    <t xml:space="preserve">DS028</t>
  </si>
  <si>
    <t xml:space="preserve">DS032</t>
  </si>
  <si>
    <t xml:space="preserve">DS029</t>
  </si>
  <si>
    <t xml:space="preserve">DS036</t>
  </si>
  <si>
    <t xml:space="preserve">DS031</t>
  </si>
  <si>
    <t xml:space="preserve">DS034</t>
  </si>
  <si>
    <t xml:space="preserve">DS033</t>
  </si>
  <si>
    <t xml:space="preserve">DS038</t>
  </si>
  <si>
    <t xml:space="preserve">DS035</t>
  </si>
  <si>
    <t xml:space="preserve">DS037</t>
  </si>
  <si>
    <t xml:space="preserve">DS039</t>
  </si>
  <si>
    <t xml:space="preserve">DS044</t>
  </si>
  <si>
    <t xml:space="preserve">DS040</t>
  </si>
  <si>
    <t xml:space="preserve">DS043</t>
  </si>
  <si>
    <t xml:space="preserve">DS041</t>
  </si>
  <si>
    <t xml:space="preserve">DS042</t>
  </si>
  <si>
    <t xml:space="preserve">DS045</t>
  </si>
  <si>
    <t xml:space="preserve">DS046</t>
  </si>
  <si>
    <t xml:space="preserve">DS047</t>
  </si>
  <si>
    <t xml:space="preserve">DS049</t>
  </si>
  <si>
    <t xml:space="preserve">DS048</t>
  </si>
  <si>
    <t xml:space="preserve">DS052</t>
  </si>
  <si>
    <t xml:space="preserve">DS050</t>
  </si>
  <si>
    <t xml:space="preserve">DS054</t>
  </si>
  <si>
    <t xml:space="preserve">DS051</t>
  </si>
  <si>
    <t xml:space="preserve">DS053</t>
  </si>
  <si>
    <t xml:space="preserve">DS055</t>
  </si>
  <si>
    <t xml:space="preserve">DS059</t>
  </si>
  <si>
    <t xml:space="preserve">DS056</t>
  </si>
  <si>
    <t xml:space="preserve">DS058</t>
  </si>
  <si>
    <t xml:space="preserve">DS057</t>
  </si>
  <si>
    <t xml:space="preserve">DS060</t>
  </si>
  <si>
    <t xml:space="preserve">J. Store-month management data (simulated; 720 records = 60 stores x 12 months, Oct-25 to Sep-26) — filter enabled</t>
  </si>
  <si>
    <t xml:space="preserve">Rec ID</t>
  </si>
  <si>
    <t xml:space="preserve">Month</t>
  </si>
  <si>
    <t xml:space="preserve">Orders</t>
  </si>
  <si>
    <t xml:space="preserve">Gross AOV (₹)</t>
  </si>
  <si>
    <t xml:space="preserve">Discount % GOV</t>
  </si>
  <si>
    <t xml:space="preserve">Gross margin % NOV</t>
  </si>
  <si>
    <t xml:space="preserve">Fee income (₹/order)</t>
  </si>
  <si>
    <t xml:space="preserve">Ad income % NOV</t>
  </si>
  <si>
    <t xml:space="preserve">Stockout rate (% lines)</t>
  </si>
  <si>
    <t xml:space="preserve">Avg FTE</t>
  </si>
  <si>
    <t xml:space="preserve">Cost per FTE (₹/month)</t>
  </si>
  <si>
    <t xml:space="preserve">Delivery cost (₹/order)</t>
  </si>
  <si>
    <t xml:space="preserve">Pick-pack &amp; packaging (₹/order)</t>
  </si>
  <si>
    <t xml:space="preserve">Payment &amp; other % NOV</t>
  </si>
  <si>
    <t xml:space="preserve">Rent (₹)</t>
  </si>
  <si>
    <t xml:space="preserve">Utilities &amp; other opex (₹)</t>
  </si>
  <si>
    <t xml:space="preserve">Local marketing (₹)</t>
  </si>
  <si>
    <t xml:space="preserve">Repeat order share</t>
  </si>
  <si>
    <t xml:space="preserve">Small-basket (&lt;₹350) order share</t>
  </si>
  <si>
    <t xml:space="preserve">On-time delivery %</t>
  </si>
  <si>
    <t xml:space="preserve">Avg delivery time (min)</t>
  </si>
  <si>
    <t xml:space="preserve">SM0001</t>
  </si>
  <si>
    <t xml:space="preserve">SM0002</t>
  </si>
  <si>
    <t xml:space="preserve">SM0003</t>
  </si>
  <si>
    <t xml:space="preserve">SM0004</t>
  </si>
  <si>
    <t xml:space="preserve">SM0005</t>
  </si>
  <si>
    <t xml:space="preserve">SM0006</t>
  </si>
  <si>
    <t xml:space="preserve">SM0007</t>
  </si>
  <si>
    <t xml:space="preserve">SM0008</t>
  </si>
  <si>
    <t xml:space="preserve">SM0009</t>
  </si>
  <si>
    <t xml:space="preserve">SM0010</t>
  </si>
  <si>
    <t xml:space="preserve">SM0011</t>
  </si>
  <si>
    <t xml:space="preserve">SM0012</t>
  </si>
  <si>
    <t xml:space="preserve">SM0013</t>
  </si>
  <si>
    <t xml:space="preserve">SM0014</t>
  </si>
  <si>
    <t xml:space="preserve">SM0015</t>
  </si>
  <si>
    <t xml:space="preserve">SM0016</t>
  </si>
  <si>
    <t xml:space="preserve">SM0017</t>
  </si>
  <si>
    <t xml:space="preserve">SM0018</t>
  </si>
  <si>
    <t xml:space="preserve">SM0019</t>
  </si>
  <si>
    <t xml:space="preserve">SM0020</t>
  </si>
  <si>
    <t xml:space="preserve">SM0021</t>
  </si>
  <si>
    <t xml:space="preserve">SM0022</t>
  </si>
  <si>
    <t xml:space="preserve">SM0023</t>
  </si>
  <si>
    <t xml:space="preserve">SM0024</t>
  </si>
  <si>
    <t xml:space="preserve">SM0025</t>
  </si>
  <si>
    <t xml:space="preserve">SM0026</t>
  </si>
  <si>
    <t xml:space="preserve">SM0027</t>
  </si>
  <si>
    <t xml:space="preserve">SM0028</t>
  </si>
  <si>
    <t xml:space="preserve">SM0029</t>
  </si>
  <si>
    <t xml:space="preserve">SM0030</t>
  </si>
  <si>
    <t xml:space="preserve">SM0031</t>
  </si>
  <si>
    <t xml:space="preserve">SM0032</t>
  </si>
  <si>
    <t xml:space="preserve">SM0033</t>
  </si>
  <si>
    <t xml:space="preserve">SM0034</t>
  </si>
  <si>
    <t xml:space="preserve">SM0035</t>
  </si>
  <si>
    <t xml:space="preserve">SM0036</t>
  </si>
  <si>
    <t xml:space="preserve">SM0037</t>
  </si>
  <si>
    <t xml:space="preserve">SM0038</t>
  </si>
  <si>
    <t xml:space="preserve">SM0039</t>
  </si>
  <si>
    <t xml:space="preserve">SM0040</t>
  </si>
  <si>
    <t xml:space="preserve">SM0041</t>
  </si>
  <si>
    <t xml:space="preserve">SM0042</t>
  </si>
  <si>
    <t xml:space="preserve">SM0043</t>
  </si>
  <si>
    <t xml:space="preserve">SM0044</t>
  </si>
  <si>
    <t xml:space="preserve">SM0045</t>
  </si>
  <si>
    <t xml:space="preserve">SM0046</t>
  </si>
  <si>
    <t xml:space="preserve">SM0047</t>
  </si>
  <si>
    <t xml:space="preserve">SM0048</t>
  </si>
  <si>
    <t xml:space="preserve">SM0049</t>
  </si>
  <si>
    <t xml:space="preserve">SM0050</t>
  </si>
  <si>
    <t xml:space="preserve">SM0051</t>
  </si>
  <si>
    <t xml:space="preserve">SM0052</t>
  </si>
  <si>
    <t xml:space="preserve">SM0053</t>
  </si>
  <si>
    <t xml:space="preserve">SM0054</t>
  </si>
  <si>
    <t xml:space="preserve">SM0055</t>
  </si>
  <si>
    <t xml:space="preserve">SM0056</t>
  </si>
  <si>
    <t xml:space="preserve">SM0057</t>
  </si>
  <si>
    <t xml:space="preserve">SM0058</t>
  </si>
  <si>
    <t xml:space="preserve">SM0059</t>
  </si>
  <si>
    <t xml:space="preserve">SM0060</t>
  </si>
  <si>
    <t xml:space="preserve">SM0061</t>
  </si>
  <si>
    <t xml:space="preserve">SM0062</t>
  </si>
  <si>
    <t xml:space="preserve">SM0063</t>
  </si>
  <si>
    <t xml:space="preserve">SM0064</t>
  </si>
  <si>
    <t xml:space="preserve">SM0065</t>
  </si>
  <si>
    <t xml:space="preserve">SM0066</t>
  </si>
  <si>
    <t xml:space="preserve">SM0067</t>
  </si>
  <si>
    <t xml:space="preserve">SM0068</t>
  </si>
  <si>
    <t xml:space="preserve">SM0069</t>
  </si>
  <si>
    <t xml:space="preserve">SM0070</t>
  </si>
  <si>
    <t xml:space="preserve">SM0071</t>
  </si>
  <si>
    <t xml:space="preserve">SM0072</t>
  </si>
  <si>
    <t xml:space="preserve">SM0073</t>
  </si>
  <si>
    <t xml:space="preserve">SM0074</t>
  </si>
  <si>
    <t xml:space="preserve">SM0075</t>
  </si>
  <si>
    <t xml:space="preserve">SM0076</t>
  </si>
  <si>
    <t xml:space="preserve">SM0077</t>
  </si>
  <si>
    <t xml:space="preserve">SM0078</t>
  </si>
  <si>
    <t xml:space="preserve">SM0079</t>
  </si>
  <si>
    <t xml:space="preserve">SM0080</t>
  </si>
  <si>
    <t xml:space="preserve">SM0081</t>
  </si>
  <si>
    <t xml:space="preserve">SM0082</t>
  </si>
  <si>
    <t xml:space="preserve">SM0083</t>
  </si>
  <si>
    <t xml:space="preserve">SM0084</t>
  </si>
  <si>
    <t xml:space="preserve">SM0085</t>
  </si>
  <si>
    <t xml:space="preserve">SM0086</t>
  </si>
  <si>
    <t xml:space="preserve">SM0087</t>
  </si>
  <si>
    <t xml:space="preserve">SM0088</t>
  </si>
  <si>
    <t xml:space="preserve">SM0089</t>
  </si>
  <si>
    <t xml:space="preserve">SM0090</t>
  </si>
  <si>
    <t xml:space="preserve">SM0091</t>
  </si>
  <si>
    <t xml:space="preserve">SM0092</t>
  </si>
  <si>
    <t xml:space="preserve">SM0093</t>
  </si>
  <si>
    <t xml:space="preserve">SM0094</t>
  </si>
  <si>
    <t xml:space="preserve">SM0095</t>
  </si>
  <si>
    <t xml:space="preserve">SM0096</t>
  </si>
  <si>
    <t xml:space="preserve">SM0097</t>
  </si>
  <si>
    <t xml:space="preserve">SM0098</t>
  </si>
  <si>
    <t xml:space="preserve">SM0099</t>
  </si>
  <si>
    <t xml:space="preserve">SM0100</t>
  </si>
  <si>
    <t xml:space="preserve">SM0101</t>
  </si>
  <si>
    <t xml:space="preserve">SM0102</t>
  </si>
  <si>
    <t xml:space="preserve">SM0103</t>
  </si>
  <si>
    <t xml:space="preserve">SM0104</t>
  </si>
  <si>
    <t xml:space="preserve">SM0105</t>
  </si>
  <si>
    <t xml:space="preserve">SM0106</t>
  </si>
  <si>
    <t xml:space="preserve">SM0107</t>
  </si>
  <si>
    <t xml:space="preserve">SM0108</t>
  </si>
  <si>
    <t xml:space="preserve">SM0109</t>
  </si>
  <si>
    <t xml:space="preserve">SM0110</t>
  </si>
  <si>
    <t xml:space="preserve">SM0111</t>
  </si>
  <si>
    <t xml:space="preserve">SM0112</t>
  </si>
  <si>
    <t xml:space="preserve">SM0113</t>
  </si>
  <si>
    <t xml:space="preserve">SM0114</t>
  </si>
  <si>
    <t xml:space="preserve">SM0115</t>
  </si>
  <si>
    <t xml:space="preserve">SM0116</t>
  </si>
  <si>
    <t xml:space="preserve">SM0117</t>
  </si>
  <si>
    <t xml:space="preserve">SM0118</t>
  </si>
  <si>
    <t xml:space="preserve">SM0119</t>
  </si>
  <si>
    <t xml:space="preserve">SM0120</t>
  </si>
  <si>
    <t xml:space="preserve">SM0121</t>
  </si>
  <si>
    <t xml:space="preserve">SM0122</t>
  </si>
  <si>
    <t xml:space="preserve">SM0123</t>
  </si>
  <si>
    <t xml:space="preserve">SM0124</t>
  </si>
  <si>
    <t xml:space="preserve">SM0125</t>
  </si>
  <si>
    <t xml:space="preserve">SM0126</t>
  </si>
  <si>
    <t xml:space="preserve">SM0127</t>
  </si>
  <si>
    <t xml:space="preserve">SM0128</t>
  </si>
  <si>
    <t xml:space="preserve">SM0129</t>
  </si>
  <si>
    <t xml:space="preserve">SM0130</t>
  </si>
  <si>
    <t xml:space="preserve">SM0131</t>
  </si>
  <si>
    <t xml:space="preserve">SM0132</t>
  </si>
  <si>
    <t xml:space="preserve">SM0133</t>
  </si>
  <si>
    <t xml:space="preserve">SM0134</t>
  </si>
  <si>
    <t xml:space="preserve">SM0135</t>
  </si>
  <si>
    <t xml:space="preserve">SM0136</t>
  </si>
  <si>
    <t xml:space="preserve">SM0137</t>
  </si>
  <si>
    <t xml:space="preserve">SM0138</t>
  </si>
  <si>
    <t xml:space="preserve">SM0139</t>
  </si>
  <si>
    <t xml:space="preserve">SM0140</t>
  </si>
  <si>
    <t xml:space="preserve">SM0141</t>
  </si>
  <si>
    <t xml:space="preserve">SM0142</t>
  </si>
  <si>
    <t xml:space="preserve">SM0143</t>
  </si>
  <si>
    <t xml:space="preserve">SM0144</t>
  </si>
  <si>
    <t xml:space="preserve">SM0145</t>
  </si>
  <si>
    <t xml:space="preserve">SM0146</t>
  </si>
  <si>
    <t xml:space="preserve">SM0147</t>
  </si>
  <si>
    <t xml:space="preserve">SM0148</t>
  </si>
  <si>
    <t xml:space="preserve">SM0149</t>
  </si>
  <si>
    <t xml:space="preserve">SM0150</t>
  </si>
  <si>
    <t xml:space="preserve">SM0151</t>
  </si>
  <si>
    <t xml:space="preserve">SM0152</t>
  </si>
  <si>
    <t xml:space="preserve">SM0153</t>
  </si>
  <si>
    <t xml:space="preserve">SM0154</t>
  </si>
  <si>
    <t xml:space="preserve">SM0155</t>
  </si>
  <si>
    <t xml:space="preserve">SM0156</t>
  </si>
  <si>
    <t xml:space="preserve">SM0157</t>
  </si>
  <si>
    <t xml:space="preserve">SM0158</t>
  </si>
  <si>
    <t xml:space="preserve">SM0159</t>
  </si>
  <si>
    <t xml:space="preserve">SM0160</t>
  </si>
  <si>
    <t xml:space="preserve">SM0161</t>
  </si>
  <si>
    <t xml:space="preserve">SM0162</t>
  </si>
  <si>
    <t xml:space="preserve">SM0163</t>
  </si>
  <si>
    <t xml:space="preserve">SM0164</t>
  </si>
  <si>
    <t xml:space="preserve">SM0165</t>
  </si>
  <si>
    <t xml:space="preserve">SM0166</t>
  </si>
  <si>
    <t xml:space="preserve">SM0167</t>
  </si>
  <si>
    <t xml:space="preserve">SM0168</t>
  </si>
  <si>
    <t xml:space="preserve">SM0169</t>
  </si>
  <si>
    <t xml:space="preserve">SM0170</t>
  </si>
  <si>
    <t xml:space="preserve">SM0171</t>
  </si>
  <si>
    <t xml:space="preserve">SM0172</t>
  </si>
  <si>
    <t xml:space="preserve">SM0173</t>
  </si>
  <si>
    <t xml:space="preserve">SM0174</t>
  </si>
  <si>
    <t xml:space="preserve">SM0175</t>
  </si>
  <si>
    <t xml:space="preserve">SM0176</t>
  </si>
  <si>
    <t xml:space="preserve">SM0177</t>
  </si>
  <si>
    <t xml:space="preserve">SM0178</t>
  </si>
  <si>
    <t xml:space="preserve">SM0179</t>
  </si>
  <si>
    <t xml:space="preserve">SM0180</t>
  </si>
  <si>
    <t xml:space="preserve">SM0181</t>
  </si>
  <si>
    <t xml:space="preserve">SM0182</t>
  </si>
  <si>
    <t xml:space="preserve">SM0183</t>
  </si>
  <si>
    <t xml:space="preserve">SM0184</t>
  </si>
  <si>
    <t xml:space="preserve">SM0185</t>
  </si>
  <si>
    <t xml:space="preserve">SM0186</t>
  </si>
  <si>
    <t xml:space="preserve">SM0187</t>
  </si>
  <si>
    <t xml:space="preserve">SM0188</t>
  </si>
  <si>
    <t xml:space="preserve">SM0189</t>
  </si>
  <si>
    <t xml:space="preserve">SM0190</t>
  </si>
  <si>
    <t xml:space="preserve">SM0191</t>
  </si>
  <si>
    <t xml:space="preserve">SM0192</t>
  </si>
  <si>
    <t xml:space="preserve">SM0193</t>
  </si>
  <si>
    <t xml:space="preserve">SM0194</t>
  </si>
  <si>
    <t xml:space="preserve">SM0195</t>
  </si>
  <si>
    <t xml:space="preserve">SM0196</t>
  </si>
  <si>
    <t xml:space="preserve">SM0197</t>
  </si>
  <si>
    <t xml:space="preserve">SM0198</t>
  </si>
  <si>
    <t xml:space="preserve">SM0199</t>
  </si>
  <si>
    <t xml:space="preserve">SM0200</t>
  </si>
  <si>
    <t xml:space="preserve">SM0201</t>
  </si>
  <si>
    <t xml:space="preserve">SM0202</t>
  </si>
  <si>
    <t xml:space="preserve">SM0203</t>
  </si>
  <si>
    <t xml:space="preserve">SM0204</t>
  </si>
  <si>
    <t xml:space="preserve">SM0205</t>
  </si>
  <si>
    <t xml:space="preserve">SM0206</t>
  </si>
  <si>
    <t xml:space="preserve">SM0207</t>
  </si>
  <si>
    <t xml:space="preserve">SM0208</t>
  </si>
  <si>
    <t xml:space="preserve">SM0209</t>
  </si>
  <si>
    <t xml:space="preserve">SM0210</t>
  </si>
  <si>
    <t xml:space="preserve">SM0211</t>
  </si>
  <si>
    <t xml:space="preserve">SM0212</t>
  </si>
  <si>
    <t xml:space="preserve">SM0213</t>
  </si>
  <si>
    <t xml:space="preserve">SM0214</t>
  </si>
  <si>
    <t xml:space="preserve">SM0215</t>
  </si>
  <si>
    <t xml:space="preserve">SM0216</t>
  </si>
  <si>
    <t xml:space="preserve">SM0217</t>
  </si>
  <si>
    <t xml:space="preserve">SM0218</t>
  </si>
  <si>
    <t xml:space="preserve">SM0219</t>
  </si>
  <si>
    <t xml:space="preserve">SM0220</t>
  </si>
  <si>
    <t xml:space="preserve">SM0221</t>
  </si>
  <si>
    <t xml:space="preserve">SM0222</t>
  </si>
  <si>
    <t xml:space="preserve">SM0223</t>
  </si>
  <si>
    <t xml:space="preserve">SM0224</t>
  </si>
  <si>
    <t xml:space="preserve">SM0225</t>
  </si>
  <si>
    <t xml:space="preserve">SM0226</t>
  </si>
  <si>
    <t xml:space="preserve">SM0227</t>
  </si>
  <si>
    <t xml:space="preserve">SM0228</t>
  </si>
  <si>
    <t xml:space="preserve">SM0229</t>
  </si>
  <si>
    <t xml:space="preserve">SM0230</t>
  </si>
  <si>
    <t xml:space="preserve">SM0231</t>
  </si>
  <si>
    <t xml:space="preserve">SM0232</t>
  </si>
  <si>
    <t xml:space="preserve">SM0233</t>
  </si>
  <si>
    <t xml:space="preserve">SM0234</t>
  </si>
  <si>
    <t xml:space="preserve">SM0235</t>
  </si>
  <si>
    <t xml:space="preserve">SM0236</t>
  </si>
  <si>
    <t xml:space="preserve">SM0237</t>
  </si>
  <si>
    <t xml:space="preserve">SM0238</t>
  </si>
  <si>
    <t xml:space="preserve">SM0239</t>
  </si>
  <si>
    <t xml:space="preserve">SM0240</t>
  </si>
  <si>
    <t xml:space="preserve">SM0241</t>
  </si>
  <si>
    <t xml:space="preserve">SM0242</t>
  </si>
  <si>
    <t xml:space="preserve">SM0243</t>
  </si>
  <si>
    <t xml:space="preserve">SM0244</t>
  </si>
  <si>
    <t xml:space="preserve">SM0245</t>
  </si>
  <si>
    <t xml:space="preserve">SM0246</t>
  </si>
  <si>
    <t xml:space="preserve">SM0247</t>
  </si>
  <si>
    <t xml:space="preserve">SM0248</t>
  </si>
  <si>
    <t xml:space="preserve">SM0249</t>
  </si>
  <si>
    <t xml:space="preserve">SM0250</t>
  </si>
  <si>
    <t xml:space="preserve">SM0251</t>
  </si>
  <si>
    <t xml:space="preserve">SM0252</t>
  </si>
  <si>
    <t xml:space="preserve">SM0253</t>
  </si>
  <si>
    <t xml:space="preserve">SM0254</t>
  </si>
  <si>
    <t xml:space="preserve">SM0255</t>
  </si>
  <si>
    <t xml:space="preserve">SM0256</t>
  </si>
  <si>
    <t xml:space="preserve">SM0257</t>
  </si>
  <si>
    <t xml:space="preserve">SM0258</t>
  </si>
  <si>
    <t xml:space="preserve">SM0259</t>
  </si>
  <si>
    <t xml:space="preserve">SM0260</t>
  </si>
  <si>
    <t xml:space="preserve">SM0261</t>
  </si>
  <si>
    <t xml:space="preserve">SM0262</t>
  </si>
  <si>
    <t xml:space="preserve">SM0263</t>
  </si>
  <si>
    <t xml:space="preserve">SM0264</t>
  </si>
  <si>
    <t xml:space="preserve">SM0265</t>
  </si>
  <si>
    <t xml:space="preserve">SM0266</t>
  </si>
  <si>
    <t xml:space="preserve">SM0267</t>
  </si>
  <si>
    <t xml:space="preserve">SM0268</t>
  </si>
  <si>
    <t xml:space="preserve">SM0269</t>
  </si>
  <si>
    <t xml:space="preserve">SM0270</t>
  </si>
  <si>
    <t xml:space="preserve">SM0271</t>
  </si>
  <si>
    <t xml:space="preserve">SM0272</t>
  </si>
  <si>
    <t xml:space="preserve">SM0273</t>
  </si>
  <si>
    <t xml:space="preserve">SM0274</t>
  </si>
  <si>
    <t xml:space="preserve">SM0275</t>
  </si>
  <si>
    <t xml:space="preserve">SM0276</t>
  </si>
  <si>
    <t xml:space="preserve">SM0277</t>
  </si>
  <si>
    <t xml:space="preserve">SM0278</t>
  </si>
  <si>
    <t xml:space="preserve">SM0279</t>
  </si>
  <si>
    <t xml:space="preserve">SM0280</t>
  </si>
  <si>
    <t xml:space="preserve">SM0281</t>
  </si>
  <si>
    <t xml:space="preserve">SM0282</t>
  </si>
  <si>
    <t xml:space="preserve">SM0283</t>
  </si>
  <si>
    <t xml:space="preserve">SM0284</t>
  </si>
  <si>
    <t xml:space="preserve">SM0285</t>
  </si>
  <si>
    <t xml:space="preserve">SM0286</t>
  </si>
  <si>
    <t xml:space="preserve">SM0287</t>
  </si>
  <si>
    <t xml:space="preserve">SM0288</t>
  </si>
  <si>
    <t xml:space="preserve">SM0289</t>
  </si>
  <si>
    <t xml:space="preserve">SM0290</t>
  </si>
  <si>
    <t xml:space="preserve">SM0291</t>
  </si>
  <si>
    <t xml:space="preserve">SM0292</t>
  </si>
  <si>
    <t xml:space="preserve">SM0293</t>
  </si>
  <si>
    <t xml:space="preserve">SM0294</t>
  </si>
  <si>
    <t xml:space="preserve">SM0295</t>
  </si>
  <si>
    <t xml:space="preserve">SM0296</t>
  </si>
  <si>
    <t xml:space="preserve">SM0297</t>
  </si>
  <si>
    <t xml:space="preserve">SM0298</t>
  </si>
  <si>
    <t xml:space="preserve">SM0299</t>
  </si>
  <si>
    <t xml:space="preserve">SM0300</t>
  </si>
  <si>
    <t xml:space="preserve">SM0301</t>
  </si>
  <si>
    <t xml:space="preserve">SM0302</t>
  </si>
  <si>
    <t xml:space="preserve">SM0303</t>
  </si>
  <si>
    <t xml:space="preserve">SM0304</t>
  </si>
  <si>
    <t xml:space="preserve">SM0305</t>
  </si>
  <si>
    <t xml:space="preserve">SM0306</t>
  </si>
  <si>
    <t xml:space="preserve">SM0307</t>
  </si>
  <si>
    <t xml:space="preserve">SM0308</t>
  </si>
  <si>
    <t xml:space="preserve">SM0309</t>
  </si>
  <si>
    <t xml:space="preserve">SM0310</t>
  </si>
  <si>
    <t xml:space="preserve">SM0311</t>
  </si>
  <si>
    <t xml:space="preserve">SM0312</t>
  </si>
  <si>
    <t xml:space="preserve">SM0313</t>
  </si>
  <si>
    <t xml:space="preserve">SM0314</t>
  </si>
  <si>
    <t xml:space="preserve">SM0315</t>
  </si>
  <si>
    <t xml:space="preserve">SM0316</t>
  </si>
  <si>
    <t xml:space="preserve">SM0317</t>
  </si>
  <si>
    <t xml:space="preserve">SM0318</t>
  </si>
  <si>
    <t xml:space="preserve">SM0319</t>
  </si>
  <si>
    <t xml:space="preserve">SM0320</t>
  </si>
  <si>
    <t xml:space="preserve">SM0321</t>
  </si>
  <si>
    <t xml:space="preserve">SM0322</t>
  </si>
  <si>
    <t xml:space="preserve">SM0323</t>
  </si>
  <si>
    <t xml:space="preserve">SM0324</t>
  </si>
  <si>
    <t xml:space="preserve">SM0325</t>
  </si>
  <si>
    <t xml:space="preserve">SM0326</t>
  </si>
  <si>
    <t xml:space="preserve">SM0327</t>
  </si>
  <si>
    <t xml:space="preserve">SM0328</t>
  </si>
  <si>
    <t xml:space="preserve">SM0329</t>
  </si>
  <si>
    <t xml:space="preserve">SM0330</t>
  </si>
  <si>
    <t xml:space="preserve">SM0331</t>
  </si>
  <si>
    <t xml:space="preserve">SM0332</t>
  </si>
  <si>
    <t xml:space="preserve">SM0333</t>
  </si>
  <si>
    <t xml:space="preserve">SM0334</t>
  </si>
  <si>
    <t xml:space="preserve">SM0335</t>
  </si>
  <si>
    <t xml:space="preserve">SM0336</t>
  </si>
  <si>
    <t xml:space="preserve">SM0337</t>
  </si>
  <si>
    <t xml:space="preserve">SM0338</t>
  </si>
  <si>
    <t xml:space="preserve">SM0339</t>
  </si>
  <si>
    <t xml:space="preserve">SM0340</t>
  </si>
  <si>
    <t xml:space="preserve">SM0341</t>
  </si>
  <si>
    <t xml:space="preserve">SM0342</t>
  </si>
  <si>
    <t xml:space="preserve">SM0343</t>
  </si>
  <si>
    <t xml:space="preserve">SM0344</t>
  </si>
  <si>
    <t xml:space="preserve">SM0345</t>
  </si>
  <si>
    <t xml:space="preserve">SM0346</t>
  </si>
  <si>
    <t xml:space="preserve">SM0347</t>
  </si>
  <si>
    <t xml:space="preserve">SM0348</t>
  </si>
  <si>
    <t xml:space="preserve">SM0349</t>
  </si>
  <si>
    <t xml:space="preserve">SM0350</t>
  </si>
  <si>
    <t xml:space="preserve">SM0351</t>
  </si>
  <si>
    <t xml:space="preserve">SM0352</t>
  </si>
  <si>
    <t xml:space="preserve">SM0353</t>
  </si>
  <si>
    <t xml:space="preserve">SM0354</t>
  </si>
  <si>
    <t xml:space="preserve">SM0355</t>
  </si>
  <si>
    <t xml:space="preserve">SM0356</t>
  </si>
  <si>
    <t xml:space="preserve">SM0357</t>
  </si>
  <si>
    <t xml:space="preserve">SM0358</t>
  </si>
  <si>
    <t xml:space="preserve">SM0359</t>
  </si>
  <si>
    <t xml:space="preserve">SM0360</t>
  </si>
  <si>
    <t xml:space="preserve">SM0361</t>
  </si>
  <si>
    <t xml:space="preserve">SM0362</t>
  </si>
  <si>
    <t xml:space="preserve">SM0363</t>
  </si>
  <si>
    <t xml:space="preserve">SM0364</t>
  </si>
  <si>
    <t xml:space="preserve">SM0365</t>
  </si>
  <si>
    <t xml:space="preserve">SM0366</t>
  </si>
  <si>
    <t xml:space="preserve">SM0367</t>
  </si>
  <si>
    <t xml:space="preserve">SM0368</t>
  </si>
  <si>
    <t xml:space="preserve">SM0369</t>
  </si>
  <si>
    <t xml:space="preserve">SM0370</t>
  </si>
  <si>
    <t xml:space="preserve">SM0371</t>
  </si>
  <si>
    <t xml:space="preserve">SM0372</t>
  </si>
  <si>
    <t xml:space="preserve">SM0373</t>
  </si>
  <si>
    <t xml:space="preserve">SM0374</t>
  </si>
  <si>
    <t xml:space="preserve">SM0375</t>
  </si>
  <si>
    <t xml:space="preserve">SM0376</t>
  </si>
  <si>
    <t xml:space="preserve">SM0377</t>
  </si>
  <si>
    <t xml:space="preserve">SM0378</t>
  </si>
  <si>
    <t xml:space="preserve">SM0379</t>
  </si>
  <si>
    <t xml:space="preserve">SM0380</t>
  </si>
  <si>
    <t xml:space="preserve">SM0381</t>
  </si>
  <si>
    <t xml:space="preserve">SM0382</t>
  </si>
  <si>
    <t xml:space="preserve">SM0383</t>
  </si>
  <si>
    <t xml:space="preserve">SM0384</t>
  </si>
  <si>
    <t xml:space="preserve">SM0385</t>
  </si>
  <si>
    <t xml:space="preserve">SM0386</t>
  </si>
  <si>
    <t xml:space="preserve">SM0387</t>
  </si>
  <si>
    <t xml:space="preserve">SM0388</t>
  </si>
  <si>
    <t xml:space="preserve">SM0389</t>
  </si>
  <si>
    <t xml:space="preserve">SM0390</t>
  </si>
  <si>
    <t xml:space="preserve">SM0391</t>
  </si>
  <si>
    <t xml:space="preserve">SM0392</t>
  </si>
  <si>
    <t xml:space="preserve">SM0393</t>
  </si>
  <si>
    <t xml:space="preserve">SM0394</t>
  </si>
  <si>
    <t xml:space="preserve">SM0395</t>
  </si>
  <si>
    <t xml:space="preserve">SM0396</t>
  </si>
  <si>
    <t xml:space="preserve">SM0397</t>
  </si>
  <si>
    <t xml:space="preserve">SM0398</t>
  </si>
  <si>
    <t xml:space="preserve">SM0399</t>
  </si>
  <si>
    <t xml:space="preserve">SM0400</t>
  </si>
  <si>
    <t xml:space="preserve">SM0401</t>
  </si>
  <si>
    <t xml:space="preserve">SM0402</t>
  </si>
  <si>
    <t xml:space="preserve">SM0403</t>
  </si>
  <si>
    <t xml:space="preserve">SM0404</t>
  </si>
  <si>
    <t xml:space="preserve">SM0405</t>
  </si>
  <si>
    <t xml:space="preserve">SM0406</t>
  </si>
  <si>
    <t xml:space="preserve">SM0407</t>
  </si>
  <si>
    <t xml:space="preserve">SM0408</t>
  </si>
  <si>
    <t xml:space="preserve">SM0409</t>
  </si>
  <si>
    <t xml:space="preserve">SM0410</t>
  </si>
  <si>
    <t xml:space="preserve">SM0411</t>
  </si>
  <si>
    <t xml:space="preserve">SM0412</t>
  </si>
  <si>
    <t xml:space="preserve">SM0413</t>
  </si>
  <si>
    <t xml:space="preserve">SM0414</t>
  </si>
  <si>
    <t xml:space="preserve">SM0415</t>
  </si>
  <si>
    <t xml:space="preserve">SM0416</t>
  </si>
  <si>
    <t xml:space="preserve">SM0417</t>
  </si>
  <si>
    <t xml:space="preserve">SM0418</t>
  </si>
  <si>
    <t xml:space="preserve">SM0419</t>
  </si>
  <si>
    <t xml:space="preserve">SM0420</t>
  </si>
  <si>
    <t xml:space="preserve">SM0421</t>
  </si>
  <si>
    <t xml:space="preserve">SM0422</t>
  </si>
  <si>
    <t xml:space="preserve">SM0423</t>
  </si>
  <si>
    <t xml:space="preserve">SM0424</t>
  </si>
  <si>
    <t xml:space="preserve">SM0425</t>
  </si>
  <si>
    <t xml:space="preserve">SM0426</t>
  </si>
  <si>
    <t xml:space="preserve">SM0427</t>
  </si>
  <si>
    <t xml:space="preserve">SM0428</t>
  </si>
  <si>
    <t xml:space="preserve">SM0429</t>
  </si>
  <si>
    <t xml:space="preserve">SM0430</t>
  </si>
  <si>
    <t xml:space="preserve">SM0431</t>
  </si>
  <si>
    <t xml:space="preserve">SM0432</t>
  </si>
  <si>
    <t xml:space="preserve">SM0433</t>
  </si>
  <si>
    <t xml:space="preserve">SM0434</t>
  </si>
  <si>
    <t xml:space="preserve">SM0435</t>
  </si>
  <si>
    <t xml:space="preserve">SM0436</t>
  </si>
  <si>
    <t xml:space="preserve">SM0437</t>
  </si>
  <si>
    <t xml:space="preserve">SM0438</t>
  </si>
  <si>
    <t xml:space="preserve">SM0439</t>
  </si>
  <si>
    <t xml:space="preserve">SM0440</t>
  </si>
  <si>
    <t xml:space="preserve">SM0441</t>
  </si>
  <si>
    <t xml:space="preserve">SM0442</t>
  </si>
  <si>
    <t xml:space="preserve">SM0443</t>
  </si>
  <si>
    <t xml:space="preserve">SM0444</t>
  </si>
  <si>
    <t xml:space="preserve">SM0445</t>
  </si>
  <si>
    <t xml:space="preserve">SM0446</t>
  </si>
  <si>
    <t xml:space="preserve">SM0447</t>
  </si>
  <si>
    <t xml:space="preserve">SM0448</t>
  </si>
  <si>
    <t xml:space="preserve">SM0449</t>
  </si>
  <si>
    <t xml:space="preserve">SM0450</t>
  </si>
  <si>
    <t xml:space="preserve">SM0451</t>
  </si>
  <si>
    <t xml:space="preserve">SM0452</t>
  </si>
  <si>
    <t xml:space="preserve">SM0453</t>
  </si>
  <si>
    <t xml:space="preserve">SM0454</t>
  </si>
  <si>
    <t xml:space="preserve">SM0455</t>
  </si>
  <si>
    <t xml:space="preserve">SM0456</t>
  </si>
  <si>
    <t xml:space="preserve">SM0457</t>
  </si>
  <si>
    <t xml:space="preserve">SM0458</t>
  </si>
  <si>
    <t xml:space="preserve">SM0459</t>
  </si>
  <si>
    <t xml:space="preserve">SM0460</t>
  </si>
  <si>
    <t xml:space="preserve">SM0461</t>
  </si>
  <si>
    <t xml:space="preserve">SM0462</t>
  </si>
  <si>
    <t xml:space="preserve">SM0463</t>
  </si>
  <si>
    <t xml:space="preserve">SM0464</t>
  </si>
  <si>
    <t xml:space="preserve">SM0465</t>
  </si>
  <si>
    <t xml:space="preserve">SM0466</t>
  </si>
  <si>
    <t xml:space="preserve">SM0467</t>
  </si>
  <si>
    <t xml:space="preserve">SM0468</t>
  </si>
  <si>
    <t xml:space="preserve">SM0469</t>
  </si>
  <si>
    <t xml:space="preserve">SM0470</t>
  </si>
  <si>
    <t xml:space="preserve">SM0471</t>
  </si>
  <si>
    <t xml:space="preserve">SM0472</t>
  </si>
  <si>
    <t xml:space="preserve">SM0473</t>
  </si>
  <si>
    <t xml:space="preserve">SM0474</t>
  </si>
  <si>
    <t xml:space="preserve">SM0475</t>
  </si>
  <si>
    <t xml:space="preserve">SM0476</t>
  </si>
  <si>
    <t xml:space="preserve">SM0477</t>
  </si>
  <si>
    <t xml:space="preserve">SM0478</t>
  </si>
  <si>
    <t xml:space="preserve">SM0479</t>
  </si>
  <si>
    <t xml:space="preserve">SM0480</t>
  </si>
  <si>
    <t xml:space="preserve">SM0481</t>
  </si>
  <si>
    <t xml:space="preserve">SM0482</t>
  </si>
  <si>
    <t xml:space="preserve">SM0483</t>
  </si>
  <si>
    <t xml:space="preserve">SM0484</t>
  </si>
  <si>
    <t xml:space="preserve">SM0485</t>
  </si>
  <si>
    <t xml:space="preserve">SM0486</t>
  </si>
  <si>
    <t xml:space="preserve">SM0487</t>
  </si>
  <si>
    <t xml:space="preserve">SM0488</t>
  </si>
  <si>
    <t xml:space="preserve">SM0489</t>
  </si>
  <si>
    <t xml:space="preserve">SM0490</t>
  </si>
  <si>
    <t xml:space="preserve">SM0491</t>
  </si>
  <si>
    <t xml:space="preserve">SM0492</t>
  </si>
  <si>
    <t xml:space="preserve">SM0493</t>
  </si>
  <si>
    <t xml:space="preserve">SM0494</t>
  </si>
  <si>
    <t xml:space="preserve">SM0495</t>
  </si>
  <si>
    <t xml:space="preserve">SM0496</t>
  </si>
  <si>
    <t xml:space="preserve">SM0497</t>
  </si>
  <si>
    <t xml:space="preserve">SM0498</t>
  </si>
  <si>
    <t xml:space="preserve">SM0499</t>
  </si>
  <si>
    <t xml:space="preserve">SM0500</t>
  </si>
  <si>
    <t xml:space="preserve">SM0501</t>
  </si>
  <si>
    <t xml:space="preserve">SM0502</t>
  </si>
  <si>
    <t xml:space="preserve">SM0503</t>
  </si>
  <si>
    <t xml:space="preserve">SM0504</t>
  </si>
  <si>
    <t xml:space="preserve">SM0505</t>
  </si>
  <si>
    <t xml:space="preserve">SM0506</t>
  </si>
  <si>
    <t xml:space="preserve">SM0507</t>
  </si>
  <si>
    <t xml:space="preserve">SM0508</t>
  </si>
  <si>
    <t xml:space="preserve">SM0509</t>
  </si>
  <si>
    <t xml:space="preserve">SM0510</t>
  </si>
  <si>
    <t xml:space="preserve">SM0511</t>
  </si>
  <si>
    <t xml:space="preserve">SM0512</t>
  </si>
  <si>
    <t xml:space="preserve">SM0513</t>
  </si>
  <si>
    <t xml:space="preserve">SM0514</t>
  </si>
  <si>
    <t xml:space="preserve">SM0515</t>
  </si>
  <si>
    <t xml:space="preserve">SM0516</t>
  </si>
  <si>
    <t xml:space="preserve">SM0517</t>
  </si>
  <si>
    <t xml:space="preserve">SM0518</t>
  </si>
  <si>
    <t xml:space="preserve">SM0519</t>
  </si>
  <si>
    <t xml:space="preserve">SM0520</t>
  </si>
  <si>
    <t xml:space="preserve">SM0521</t>
  </si>
  <si>
    <t xml:space="preserve">SM0522</t>
  </si>
  <si>
    <t xml:space="preserve">SM0523</t>
  </si>
  <si>
    <t xml:space="preserve">SM0524</t>
  </si>
  <si>
    <t xml:space="preserve">SM0525</t>
  </si>
  <si>
    <t xml:space="preserve">SM0526</t>
  </si>
  <si>
    <t xml:space="preserve">SM0527</t>
  </si>
  <si>
    <t xml:space="preserve">SM0528</t>
  </si>
  <si>
    <t xml:space="preserve">SM0529</t>
  </si>
  <si>
    <t xml:space="preserve">SM0530</t>
  </si>
  <si>
    <t xml:space="preserve">SM0531</t>
  </si>
  <si>
    <t xml:space="preserve">SM0532</t>
  </si>
  <si>
    <t xml:space="preserve">SM0533</t>
  </si>
  <si>
    <t xml:space="preserve">SM0534</t>
  </si>
  <si>
    <t xml:space="preserve">SM0535</t>
  </si>
  <si>
    <t xml:space="preserve">SM0536</t>
  </si>
  <si>
    <t xml:space="preserve">SM0537</t>
  </si>
  <si>
    <t xml:space="preserve">SM0538</t>
  </si>
  <si>
    <t xml:space="preserve">SM0539</t>
  </si>
  <si>
    <t xml:space="preserve">SM0540</t>
  </si>
  <si>
    <t xml:space="preserve">SM0541</t>
  </si>
  <si>
    <t xml:space="preserve">SM0542</t>
  </si>
  <si>
    <t xml:space="preserve">SM0543</t>
  </si>
  <si>
    <t xml:space="preserve">SM0544</t>
  </si>
  <si>
    <t xml:space="preserve">SM0545</t>
  </si>
  <si>
    <t xml:space="preserve">SM0546</t>
  </si>
  <si>
    <t xml:space="preserve">SM0547</t>
  </si>
  <si>
    <t xml:space="preserve">SM0548</t>
  </si>
  <si>
    <t xml:space="preserve">SM0549</t>
  </si>
  <si>
    <t xml:space="preserve">SM0550</t>
  </si>
  <si>
    <t xml:space="preserve">SM0551</t>
  </si>
  <si>
    <t xml:space="preserve">SM0552</t>
  </si>
  <si>
    <t xml:space="preserve">SM0553</t>
  </si>
  <si>
    <t xml:space="preserve">SM0554</t>
  </si>
  <si>
    <t xml:space="preserve">SM0555</t>
  </si>
  <si>
    <t xml:space="preserve">SM0556</t>
  </si>
  <si>
    <t xml:space="preserve">SM0557</t>
  </si>
  <si>
    <t xml:space="preserve">SM0558</t>
  </si>
  <si>
    <t xml:space="preserve">SM0559</t>
  </si>
  <si>
    <t xml:space="preserve">SM0560</t>
  </si>
  <si>
    <t xml:space="preserve">SM0561</t>
  </si>
  <si>
    <t xml:space="preserve">SM0562</t>
  </si>
  <si>
    <t xml:space="preserve">SM0563</t>
  </si>
  <si>
    <t xml:space="preserve">SM0564</t>
  </si>
  <si>
    <t xml:space="preserve">SM0565</t>
  </si>
  <si>
    <t xml:space="preserve">SM0566</t>
  </si>
  <si>
    <t xml:space="preserve">SM0567</t>
  </si>
  <si>
    <t xml:space="preserve">SM0568</t>
  </si>
  <si>
    <t xml:space="preserve">SM0569</t>
  </si>
  <si>
    <t xml:space="preserve">SM0570</t>
  </si>
  <si>
    <t xml:space="preserve">SM0571</t>
  </si>
  <si>
    <t xml:space="preserve">SM0572</t>
  </si>
  <si>
    <t xml:space="preserve">SM0573</t>
  </si>
  <si>
    <t xml:space="preserve">SM0574</t>
  </si>
  <si>
    <t xml:space="preserve">SM0575</t>
  </si>
  <si>
    <t xml:space="preserve">SM0576</t>
  </si>
  <si>
    <t xml:space="preserve">SM0577</t>
  </si>
  <si>
    <t xml:space="preserve">SM0578</t>
  </si>
  <si>
    <t xml:space="preserve">SM0579</t>
  </si>
  <si>
    <t xml:space="preserve">SM0580</t>
  </si>
  <si>
    <t xml:space="preserve">SM0581</t>
  </si>
  <si>
    <t xml:space="preserve">SM0582</t>
  </si>
  <si>
    <t xml:space="preserve">SM0583</t>
  </si>
  <si>
    <t xml:space="preserve">SM0584</t>
  </si>
  <si>
    <t xml:space="preserve">SM0585</t>
  </si>
  <si>
    <t xml:space="preserve">SM0586</t>
  </si>
  <si>
    <t xml:space="preserve">SM0587</t>
  </si>
  <si>
    <t xml:space="preserve">SM0588</t>
  </si>
  <si>
    <t xml:space="preserve">SM0589</t>
  </si>
  <si>
    <t xml:space="preserve">SM0590</t>
  </si>
  <si>
    <t xml:space="preserve">SM0591</t>
  </si>
  <si>
    <t xml:space="preserve">SM0592</t>
  </si>
  <si>
    <t xml:space="preserve">SM0593</t>
  </si>
  <si>
    <t xml:space="preserve">SM0594</t>
  </si>
  <si>
    <t xml:space="preserve">SM0595</t>
  </si>
  <si>
    <t xml:space="preserve">SM0596</t>
  </si>
  <si>
    <t xml:space="preserve">SM0597</t>
  </si>
  <si>
    <t xml:space="preserve">SM0598</t>
  </si>
  <si>
    <t xml:space="preserve">SM0599</t>
  </si>
  <si>
    <t xml:space="preserve">SM0600</t>
  </si>
  <si>
    <t xml:space="preserve">SM0601</t>
  </si>
  <si>
    <t xml:space="preserve">SM0602</t>
  </si>
  <si>
    <t xml:space="preserve">SM0603</t>
  </si>
  <si>
    <t xml:space="preserve">SM0604</t>
  </si>
  <si>
    <t xml:space="preserve">SM0605</t>
  </si>
  <si>
    <t xml:space="preserve">SM0606</t>
  </si>
  <si>
    <t xml:space="preserve">SM0607</t>
  </si>
  <si>
    <t xml:space="preserve">SM0608</t>
  </si>
  <si>
    <t xml:space="preserve">SM0609</t>
  </si>
  <si>
    <t xml:space="preserve">SM0610</t>
  </si>
  <si>
    <t xml:space="preserve">SM0611</t>
  </si>
  <si>
    <t xml:space="preserve">SM0612</t>
  </si>
  <si>
    <t xml:space="preserve">SM0613</t>
  </si>
  <si>
    <t xml:space="preserve">SM0614</t>
  </si>
  <si>
    <t xml:space="preserve">SM0615</t>
  </si>
  <si>
    <t xml:space="preserve">SM0616</t>
  </si>
  <si>
    <t xml:space="preserve">SM0617</t>
  </si>
  <si>
    <t xml:space="preserve">SM0618</t>
  </si>
  <si>
    <t xml:space="preserve">SM0619</t>
  </si>
  <si>
    <t xml:space="preserve">SM0620</t>
  </si>
  <si>
    <t xml:space="preserve">SM0621</t>
  </si>
  <si>
    <t xml:space="preserve">SM0622</t>
  </si>
  <si>
    <t xml:space="preserve">SM0623</t>
  </si>
  <si>
    <t xml:space="preserve">SM0624</t>
  </si>
  <si>
    <t xml:space="preserve">SM0625</t>
  </si>
  <si>
    <t xml:space="preserve">SM0626</t>
  </si>
  <si>
    <t xml:space="preserve">SM0627</t>
  </si>
  <si>
    <t xml:space="preserve">SM0628</t>
  </si>
  <si>
    <t xml:space="preserve">SM0629</t>
  </si>
  <si>
    <t xml:space="preserve">SM0630</t>
  </si>
  <si>
    <t xml:space="preserve">SM0631</t>
  </si>
  <si>
    <t xml:space="preserve">SM0632</t>
  </si>
  <si>
    <t xml:space="preserve">SM0633</t>
  </si>
  <si>
    <t xml:space="preserve">SM0634</t>
  </si>
  <si>
    <t xml:space="preserve">SM0635</t>
  </si>
  <si>
    <t xml:space="preserve">SM0636</t>
  </si>
  <si>
    <t xml:space="preserve">SM0637</t>
  </si>
  <si>
    <t xml:space="preserve">SM0638</t>
  </si>
  <si>
    <t xml:space="preserve">SM0639</t>
  </si>
  <si>
    <t xml:space="preserve">SM0640</t>
  </si>
  <si>
    <t xml:space="preserve">SM0641</t>
  </si>
  <si>
    <t xml:space="preserve">SM0642</t>
  </si>
  <si>
    <t xml:space="preserve">SM0643</t>
  </si>
  <si>
    <t xml:space="preserve">SM0644</t>
  </si>
  <si>
    <t xml:space="preserve">SM0645</t>
  </si>
  <si>
    <t xml:space="preserve">SM0646</t>
  </si>
  <si>
    <t xml:space="preserve">SM0647</t>
  </si>
  <si>
    <t xml:space="preserve">SM0648</t>
  </si>
  <si>
    <t xml:space="preserve">SM0649</t>
  </si>
  <si>
    <t xml:space="preserve">SM0650</t>
  </si>
  <si>
    <t xml:space="preserve">SM0651</t>
  </si>
  <si>
    <t xml:space="preserve">SM0652</t>
  </si>
  <si>
    <t xml:space="preserve">SM0653</t>
  </si>
  <si>
    <t xml:space="preserve">SM0654</t>
  </si>
  <si>
    <t xml:space="preserve">SM0655</t>
  </si>
  <si>
    <t xml:space="preserve">SM0656</t>
  </si>
  <si>
    <t xml:space="preserve">SM0657</t>
  </si>
  <si>
    <t xml:space="preserve">SM0658</t>
  </si>
  <si>
    <t xml:space="preserve">SM0659</t>
  </si>
  <si>
    <t xml:space="preserve">SM0660</t>
  </si>
  <si>
    <t xml:space="preserve">SM0661</t>
  </si>
  <si>
    <t xml:space="preserve">SM0662</t>
  </si>
  <si>
    <t xml:space="preserve">SM0663</t>
  </si>
  <si>
    <t xml:space="preserve">SM0664</t>
  </si>
  <si>
    <t xml:space="preserve">SM0665</t>
  </si>
  <si>
    <t xml:space="preserve">SM0666</t>
  </si>
  <si>
    <t xml:space="preserve">SM0667</t>
  </si>
  <si>
    <t xml:space="preserve">SM0668</t>
  </si>
  <si>
    <t xml:space="preserve">SM0669</t>
  </si>
  <si>
    <t xml:space="preserve">SM0670</t>
  </si>
  <si>
    <t xml:space="preserve">SM0671</t>
  </si>
  <si>
    <t xml:space="preserve">SM0672</t>
  </si>
  <si>
    <t xml:space="preserve">SM0673</t>
  </si>
  <si>
    <t xml:space="preserve">SM0674</t>
  </si>
  <si>
    <t xml:space="preserve">SM0675</t>
  </si>
  <si>
    <t xml:space="preserve">SM0676</t>
  </si>
  <si>
    <t xml:space="preserve">SM0677</t>
  </si>
  <si>
    <t xml:space="preserve">SM0678</t>
  </si>
  <si>
    <t xml:space="preserve">SM0679</t>
  </si>
  <si>
    <t xml:space="preserve">SM0680</t>
  </si>
  <si>
    <t xml:space="preserve">SM0681</t>
  </si>
  <si>
    <t xml:space="preserve">SM0682</t>
  </si>
  <si>
    <t xml:space="preserve">SM0683</t>
  </si>
  <si>
    <t xml:space="preserve">SM0684</t>
  </si>
  <si>
    <t xml:space="preserve">SM0685</t>
  </si>
  <si>
    <t xml:space="preserve">SM0686</t>
  </si>
  <si>
    <t xml:space="preserve">SM0687</t>
  </si>
  <si>
    <t xml:space="preserve">SM0688</t>
  </si>
  <si>
    <t xml:space="preserve">SM0689</t>
  </si>
  <si>
    <t xml:space="preserve">SM0690</t>
  </si>
  <si>
    <t xml:space="preserve">SM0691</t>
  </si>
  <si>
    <t xml:space="preserve">SM0692</t>
  </si>
  <si>
    <t xml:space="preserve">SM0693</t>
  </si>
  <si>
    <t xml:space="preserve">SM0694</t>
  </si>
  <si>
    <t xml:space="preserve">SM0695</t>
  </si>
  <si>
    <t xml:space="preserve">SM0696</t>
  </si>
  <si>
    <t xml:space="preserve">SM0697</t>
  </si>
  <si>
    <t xml:space="preserve">SM0698</t>
  </si>
  <si>
    <t xml:space="preserve">SM0699</t>
  </si>
  <si>
    <t xml:space="preserve">SM0700</t>
  </si>
  <si>
    <t xml:space="preserve">SM0701</t>
  </si>
  <si>
    <t xml:space="preserve">SM0702</t>
  </si>
  <si>
    <t xml:space="preserve">SM0703</t>
  </si>
  <si>
    <t xml:space="preserve">SM0704</t>
  </si>
  <si>
    <t xml:space="preserve">SM0705</t>
  </si>
  <si>
    <t xml:space="preserve">SM0706</t>
  </si>
  <si>
    <t xml:space="preserve">SM0707</t>
  </si>
  <si>
    <t xml:space="preserve">SM0708</t>
  </si>
  <si>
    <t xml:space="preserve">SM0709</t>
  </si>
  <si>
    <t xml:space="preserve">SM0710</t>
  </si>
  <si>
    <t xml:space="preserve">SM0711</t>
  </si>
  <si>
    <t xml:space="preserve">SM0712</t>
  </si>
  <si>
    <t xml:space="preserve">SM0713</t>
  </si>
  <si>
    <t xml:space="preserve">SM0714</t>
  </si>
  <si>
    <t xml:space="preserve">SM0715</t>
  </si>
  <si>
    <t xml:space="preserve">SM0716</t>
  </si>
  <si>
    <t xml:space="preserve">SM0717</t>
  </si>
  <si>
    <t xml:space="preserve">SM0718</t>
  </si>
  <si>
    <t xml:space="preserve">SM0719</t>
  </si>
  <si>
    <t xml:space="preserve">SM0720</t>
  </si>
  <si>
    <t xml:space="preserve">FINANCIAL ANALYSIS — Network P&amp;L, reconciliation and store-month calculation engine</t>
  </si>
  <si>
    <t xml:space="preserve">Money in ₹ lakh unless stated (₹1 crore = 100 lakh). Monthly values are SUMIFS on the store-month calculation table at the bottom of this sheet (Section D).</t>
  </si>
  <si>
    <t xml:space="preserve">A. Network monthly P&amp;L (60 stores)</t>
  </si>
  <si>
    <t xml:space="preserve">₹ lakh</t>
  </si>
  <si>
    <t xml:space="preserve">12M total</t>
  </si>
  <si>
    <t xml:space="preserve">Run-rate Q (Jul–Sep)</t>
  </si>
  <si>
    <t xml:space="preserve">Orders (count)</t>
  </si>
  <si>
    <t xml:space="preserve">Delivery cost</t>
  </si>
  <si>
    <t xml:space="preserve">Pick-pack &amp; packaging</t>
  </si>
  <si>
    <t xml:space="preserve">Rent</t>
  </si>
  <si>
    <t xml:space="preserve">Utilities &amp; other opex</t>
  </si>
  <si>
    <t xml:space="preserve">Local marketing</t>
  </si>
  <si>
    <t xml:space="preserve">AOV (₹, gross)</t>
  </si>
  <si>
    <t xml:space="preserve">Contribution % NOV</t>
  </si>
  <si>
    <t xml:space="preserve">Store EBITDA % NOV</t>
  </si>
  <si>
    <t xml:space="preserve">Orders per day (network)</t>
  </si>
  <si>
    <t xml:space="preserve">EBITDA ₹/order</t>
  </si>
  <si>
    <t xml:space="preserve">Stores loss-making in month (#)</t>
  </si>
  <si>
    <t xml:space="preserve">Stores profitable in month (#)</t>
  </si>
  <si>
    <t xml:space="preserve">B. Data validation and financial reconciliation (all must show PASS)</t>
  </si>
  <si>
    <t xml:space="preserve">Check</t>
  </si>
  <si>
    <t xml:space="preserve">Value A</t>
  </si>
  <si>
    <t xml:space="preserve">Value B</t>
  </si>
  <si>
    <t xml:space="preserve">Difference</t>
  </si>
  <si>
    <t xml:space="preserve">Tolerance</t>
  </si>
  <si>
    <t xml:space="preserve">Record count = stores x 12 months</t>
  </si>
  <si>
    <t xml:space="preserve">Duplicate store-month keys (count)</t>
  </si>
  <si>
    <t xml:space="preserve">Orphan store IDs in data not in master (count)</t>
  </si>
  <si>
    <t xml:space="preserve">Stores without exactly 12 months (count)</t>
  </si>
  <si>
    <t xml:space="preserve">Blank cells in input data table</t>
  </si>
  <si>
    <t xml:space="preserve">Records with orders ≤ 0, discount &gt;25% or wastage &gt;10% (count)</t>
  </si>
  <si>
    <t xml:space="preserve">GOV − discounts = NOV (₹ lakh, 12M)</t>
  </si>
  <si>
    <t xml:space="preserve">Gross margin+fee+ad−wastage = net revenue (₹ lakh)</t>
  </si>
  <si>
    <t xml:space="preserve">Net revenue − variable cost = contribution (₹ lakh)</t>
  </si>
  <si>
    <t xml:space="preserve">Contribution − fixed store cost = EBITDA (₹ lakh)</t>
  </si>
  <si>
    <t xml:space="preserve">Sum of monthly EBITDA = sum of store-month EBITDA (₹ lakh)</t>
  </si>
  <si>
    <t xml:space="preserve">Basket bands: orders (000) vs network</t>
  </si>
  <si>
    <t xml:space="preserve">Basket bands: GOV (₹ lakh) vs network</t>
  </si>
  <si>
    <t xml:space="preserve">Basket bands: contribution (₹ lakh) vs network</t>
  </si>
  <si>
    <t xml:space="preserve">Cohorts: GOV (₹ lakh) vs network</t>
  </si>
  <si>
    <t xml:space="preserve">Cohorts: contribution (₹ lakh) vs network</t>
  </si>
  <si>
    <t xml:space="preserve">Category table: NOV (₹ lakh) vs network</t>
  </si>
  <si>
    <t xml:space="preserve">Category table: wastage (₹ lakh) vs network</t>
  </si>
  <si>
    <t xml:space="preserve">Store table EBITDA (sheet 3) vs network run-rate (₹ lakh/month)</t>
  </si>
  <si>
    <t xml:space="preserve">Intervention register vs scenario bridge (sheet 4, ₹ crore)</t>
  </si>
  <si>
    <t xml:space="preserve">OVERALL STATUS</t>
  </si>
  <si>
    <t xml:space="preserve">D. Store-month calculation engine (formulas; filter enabled) — ₹ (not lakh) in this table</t>
  </si>
  <si>
    <t xml:space="preserve">Utilities &amp; other</t>
  </si>
  <si>
    <t xml:space="preserve">Days in month</t>
  </si>
  <si>
    <t xml:space="preserve">Orders/day</t>
  </si>
  <si>
    <t xml:space="preserve">DIAGNOSIS &amp; STORE SEGMENTATION — Run-rate quarter Jul–Sep 2026 (Q2 FY27)</t>
  </si>
  <si>
    <t xml:space="preserve">All store metrics are formulas on sheet 2. Benchmarks = medians of mature stores (age ≥ 12 months). ₹ lakh per month unless stated. Store table in Section F (filter enabled).</t>
  </si>
  <si>
    <t xml:space="preserve">A. Peer benchmarks (medians of mature stores) and thresholds</t>
  </si>
  <si>
    <t xml:space="preserve">Benchmark</t>
  </si>
  <si>
    <t xml:space="preserve">Basis</t>
  </si>
  <si>
    <t xml:space="preserve">Orders per 000 households per day (P75, non-overlapped mature stores)</t>
  </si>
  <si>
    <t xml:space="preserve">75th percentile: realistic achievable penetration</t>
  </si>
  <si>
    <t xml:space="preserve">Discount % GOV (median mature)</t>
  </si>
  <si>
    <t xml:space="preserve">Median</t>
  </si>
  <si>
    <t xml:space="preserve">Wastage % NOV (median mature)</t>
  </si>
  <si>
    <t xml:space="preserve">Delivery cost ₹/order (median mature)</t>
  </si>
  <si>
    <t xml:space="preserve">Orders per FTE per day (median mature)</t>
  </si>
  <si>
    <t xml:space="preserve">Sq ft per 100 orders/day (median mature)</t>
  </si>
  <si>
    <t xml:space="preserve">Contribution ₹/order (median mature)</t>
  </si>
  <si>
    <t xml:space="preserve">B. Store segmentation summary (rule-based; thresholds on sheet 1 Section D)</t>
  </si>
  <si>
    <t xml:space="preserve">Class</t>
  </si>
  <si>
    <t xml:space="preserve">Stores</t>
  </si>
  <si>
    <t xml:space="preserve">NOV ₹L/mo</t>
  </si>
  <si>
    <t xml:space="preserve">% of NOV</t>
  </si>
  <si>
    <t xml:space="preserve">Store EBITDA ₹L/mo</t>
  </si>
  <si>
    <t xml:space="preserve">EBITDA % NOV</t>
  </si>
  <si>
    <t xml:space="preserve">Avg orders/day</t>
  </si>
  <si>
    <t xml:space="preserve">Avg age (m)</t>
  </si>
  <si>
    <t xml:space="preserve">Loss-making stores</t>
  </si>
  <si>
    <t xml:space="preserve">Management action</t>
  </si>
  <si>
    <t xml:space="preserve">Closed in Base</t>
  </si>
  <si>
    <t xml:space="preserve">Residual loss-making after programme (Base)</t>
  </si>
  <si>
    <t xml:space="preserve">Scale</t>
  </si>
  <si>
    <t xml:space="preserve">Add demand: protect availability, grow catchment penetration; no cost-out</t>
  </si>
  <si>
    <t xml:space="preserve">Optimise</t>
  </si>
  <si>
    <t xml:space="preserve">Close controllable gaps: discount, wastage, roster, delivery</t>
  </si>
  <si>
    <t xml:space="preserve">Turn around</t>
  </si>
  <si>
    <t xml:space="preserve">Stage-gated plan: ramp + controllable fixes; review at 90 days</t>
  </si>
  <si>
    <t xml:space="preserve">Relocate or resize</t>
  </si>
  <si>
    <t xml:space="preserve">Resize space / renegotiate rent; relocation study where catchment is weak</t>
  </si>
  <si>
    <t xml:space="preserve">Close</t>
  </si>
  <si>
    <t xml:space="preserve">Exit only with covered demand (neighbour capacity) and payback inside gate</t>
  </si>
  <si>
    <t xml:space="preserve">Check: store EBITDA total = sheet 2 run-rate EBITDA (₹L/mo)</t>
  </si>
  <si>
    <t xml:space="preserve">C. City view (run-rate quarter)</t>
  </si>
  <si>
    <t xml:space="preserve">Avg discount % GOV (wtd)</t>
  </si>
  <si>
    <t xml:space="preserve">Avg delivery ₹/order</t>
  </si>
  <si>
    <t xml:space="preserve">Avg orders/FTE/day</t>
  </si>
  <si>
    <t xml:space="preserve">D. Where does the gap come from? Per-order economics, top vs bottom EBITDA quartile of stores (order-weighted, ₹ per order)</t>
  </si>
  <si>
    <t xml:space="preserve">₹ per order</t>
  </si>
  <si>
    <t xml:space="preserve">Q1 top</t>
  </si>
  <si>
    <t xml:space="preserve">Q2-Q3 middle</t>
  </si>
  <si>
    <t xml:space="preserve">Q4 bottom</t>
  </si>
  <si>
    <t xml:space="preserve">Gap Q1 − Q4</t>
  </si>
  <si>
    <t xml:space="preserve">Driver</t>
  </si>
  <si>
    <t xml:space="preserve">NOV per order</t>
  </si>
  <si>
    <t xml:space="preserve">Positive = Q1 advantage (₹/order)</t>
  </si>
  <si>
    <t xml:space="preserve">Margin + fees + ads</t>
  </si>
  <si>
    <t xml:space="preserve">Pick-pack + payment</t>
  </si>
  <si>
    <t xml:space="preserve">Utilities + local marketing</t>
  </si>
  <si>
    <t xml:space="preserve">Store EBITDA per order</t>
  </si>
  <si>
    <t xml:space="preserve">Avg age (months)</t>
  </si>
  <si>
    <t xml:space="preserve">Avg distance to own store (km)</t>
  </si>
  <si>
    <t xml:space="preserve">Avg discount % GOV</t>
  </si>
  <si>
    <t xml:space="preserve">E. Customer and basket profitability, inventory evidence (linked from sheet 1 Sections F–H; full 12 months)</t>
  </si>
  <si>
    <t xml:space="preserve">Share of orders</t>
  </si>
  <si>
    <t xml:space="preserve">Contribution % of NOV</t>
  </si>
  <si>
    <t xml:space="preserve">Contribution ₹ lakh</t>
  </si>
  <si>
    <t xml:space="preserve">Share of contribution</t>
  </si>
  <si>
    <t xml:space="preserve">Customer cohort</t>
  </si>
  <si>
    <t xml:space="preserve">Store-volume tier</t>
  </si>
  <si>
    <t xml:space="preserve">NOV ₹ lakh</t>
  </si>
  <si>
    <t xml:space="preserve">Fresh (F&amp;V) wastage % NOV</t>
  </si>
  <si>
    <t xml:space="preserve">Days inventory (F&amp;V)</t>
  </si>
  <si>
    <t xml:space="preserve">Low volume</t>
  </si>
  <si>
    <t xml:space="preserve">Mid volume</t>
  </si>
  <si>
    <t xml:space="preserve">High volume</t>
  </si>
  <si>
    <t xml:space="preserve">F. Correlation is not causation — what the data can and cannot say</t>
  </si>
  <si>
    <t xml:space="preserve">Relationship (60 stores)</t>
  </si>
  <si>
    <t xml:space="preserve">Correlation</t>
  </si>
  <si>
    <t xml:space="preserve">Reading</t>
  </si>
  <si>
    <t xml:space="preserve">EBITDA % NOV vs orders/day</t>
  </si>
  <si>
    <t xml:space="preserve">Strong: volume is the dominant correlate of profitability. Confounded by age (young stores are small AND discount-heavy).</t>
  </si>
  <si>
    <t xml:space="preserve">EBITDA % NOV vs discount % GOV</t>
  </si>
  <si>
    <t xml:space="preserve">Negative, but largely an age effect (new stores discount more). Mature-store test below isolates it.</t>
  </si>
  <si>
    <t xml:space="preserve">EBITDA % NOV vs store age</t>
  </si>
  <si>
    <t xml:space="preserve">Positive: ramp effect. Does not prove age causes profit; it reflects ramp-up and learning.</t>
  </si>
  <si>
    <t xml:space="preserve">Orders per 000 HH vs distance to own store</t>
  </si>
  <si>
    <t xml:space="preserve">Orders per day vs distance; positive correlation consistent with cannibalisation but also store size.</t>
  </si>
  <si>
    <t xml:space="preserve">EBITDA % NOV vs orders per FTE</t>
  </si>
  <si>
    <t xml:space="preserve">Productivity is associated with profit; direction of causality is unproven (busy stores are also better staffed).</t>
  </si>
  <si>
    <t xml:space="preserve">Age-controlled test (mature stores only)</t>
  </si>
  <si>
    <t xml:space="preserve">Orders per 000 HH per day</t>
  </si>
  <si>
    <t xml:space="preserve">Mature stores with own store &lt; 1.5 km away</t>
  </si>
  <si>
    <t xml:space="preserve">Because both groups are mature, the gap is not an age effect. Remaining caveat: micro-market mix may differ (simulated data; real data needs pin-code demand mapping).</t>
  </si>
  <si>
    <t xml:space="preserve">Mature stores with own store ≥ 1.5 km away</t>
  </si>
  <si>
    <t xml:space="preserve">Overlapped vs non-overlapped: gap in orders per 000 HH</t>
  </si>
  <si>
    <t xml:space="preserve">G. Findings: Evidence → Quantified gap → Root cause → Financial impact → Management decision (₹L/mo, run-rate quarter)</t>
  </si>
  <si>
    <t xml:space="preserve">Finding</t>
  </si>
  <si>
    <t xml:space="preserve">Evidence metric A</t>
  </si>
  <si>
    <t xml:space="preserve">A</t>
  </si>
  <si>
    <t xml:space="preserve">Evidence metric B</t>
  </si>
  <si>
    <t xml:space="preserve">B</t>
  </si>
  <si>
    <t xml:space="preserve">Root cause</t>
  </si>
  <si>
    <t xml:space="preserve">Financial impact ₹L/mo</t>
  </si>
  <si>
    <t xml:space="preserve">Management decision</t>
  </si>
  <si>
    <t xml:space="preserve">1. Volume below breakeven in a minority of stores drives the whole loss</t>
  </si>
  <si>
    <t xml:space="preserve">Loss-making stores (#)</t>
  </si>
  <si>
    <t xml:space="preserve">Of which younger than 12 months (#)</t>
  </si>
  <si>
    <t xml:space="preserve">Fixed cost (rent + roster) is sized ahead of demand; stores are immature or share catchments</t>
  </si>
  <si>
    <t xml:space="preserve">Segment: Scale / Optimise / Turn around / Relocate or resize / Close. Fix store by store, not by blanket rule</t>
  </si>
  <si>
    <t xml:space="preserve">2. Overlapping catchments cap volume (cannibalisation)</t>
  </si>
  <si>
    <t xml:space="preserve">Orders per 000 HH — mature, overlapped</t>
  </si>
  <si>
    <t xml:space="preserve">Orders per 000 HH — mature, not overlapped</t>
  </si>
  <si>
    <t xml:space="preserve">Stores opened inside an existing store’s 1.5 km radius split the same households (association after controlling for age; micro-market mix not controlled)</t>
  </si>
  <si>
    <t xml:space="preserve">Stop openings inside radius; absorb demand into neighbour where capacity exists; close only the weaker of a pair</t>
  </si>
  <si>
    <t xml:space="preserve">3. Discount leakage: new-customer and small-basket orders are subsidised</t>
  </si>
  <si>
    <t xml:space="preserve">New-customer discount % GOV</t>
  </si>
  <si>
    <t xml:space="preserve">Loyal-customer discount % GOV</t>
  </si>
  <si>
    <t xml:space="preserve">Blanket promotions; no basket threshold; weak repeat-based targeting</t>
  </si>
  <si>
    <t xml:space="preserve">Targeted discounting with basket thresholds; protect repeat customers; A/B test elasticity in pilot</t>
  </si>
  <si>
    <t xml:space="preserve">4. Fixed costs mismatched to demand (roster and space)</t>
  </si>
  <si>
    <t xml:space="preserve">Excess FTE across stores (#)</t>
  </si>
  <si>
    <t xml:space="preserve">Excess area on eligible leases (sq ft)</t>
  </si>
  <si>
    <t xml:space="preserve">Rosters fixed to design volume, not actual orders; oversized or above-market leases</t>
  </si>
  <si>
    <t xml:space="preserve">Roster to demand curve; resize and renegotiate eligible leases</t>
  </si>
  <si>
    <t xml:space="preserve">5. Wastage and delivery cost rise as store volume falls</t>
  </si>
  <si>
    <t xml:space="preserve">Wastage % NOV — low-volume tier</t>
  </si>
  <si>
    <t xml:space="preserve">Wastage % NOV — high-volume tier</t>
  </si>
  <si>
    <t xml:space="preserve">Fixed assortment depth and thin rider batching in low-density stores</t>
  </si>
  <si>
    <t xml:space="preserve">Right-size assortment by store tier; batching and radius rules</t>
  </si>
  <si>
    <t xml:space="preserve">Finding 5 note: tier wastage uses sheet 1 Section H (Low vs High tier). Impacts overlap between findings; the business case on sheet 4 uses each store lever once with an interaction haircut — do not add the impacts here.</t>
  </si>
  <si>
    <t xml:space="preserve">F. Store-level diagnosis, opportunity sizing and classification (60 stores; filter enabled)</t>
  </si>
  <si>
    <t xml:space="preserve">Age (months)</t>
  </si>
  <si>
    <t xml:space="preserve">AOV ₹</t>
  </si>
  <si>
    <t xml:space="preserve">Delivery ₹/order</t>
  </si>
  <si>
    <t xml:space="preserve">Orders/FTE/day</t>
  </si>
  <si>
    <t xml:space="preserve">Fixed store cost ₹L/mo</t>
  </si>
  <si>
    <t xml:space="preserve">Breakeven orders/day</t>
  </si>
  <si>
    <t xml:space="preserve">Orders vs breakeven</t>
  </si>
  <si>
    <t xml:space="preserve">Catchment HH (000)</t>
  </si>
  <si>
    <t xml:space="preserve">Dist. to own store (km)</t>
  </si>
  <si>
    <t xml:space="preserve">Shared catchment %</t>
  </si>
  <si>
    <t xml:space="preserve">Potential orders/day</t>
  </si>
  <si>
    <t xml:space="preserve">Demand headroom</t>
  </si>
  <si>
    <t xml:space="preserve">Mature flag</t>
  </si>
  <si>
    <t xml:space="preserve">[bench] orders/000 HH</t>
  </si>
  <si>
    <t xml:space="preserve">[bench] discount</t>
  </si>
  <si>
    <t xml:space="preserve">[bench] wastage</t>
  </si>
  <si>
    <t xml:space="preserve">[bench] delivery</t>
  </si>
  <si>
    <t xml:space="preserve">[bench] orders/FTE</t>
  </si>
  <si>
    <t xml:space="preserve">[bench] sq ft/100 orders</t>
  </si>
  <si>
    <t xml:space="preserve">[bench] contribution/order</t>
  </si>
  <si>
    <t xml:space="preserve">GOV ₹L/mo</t>
  </si>
  <si>
    <t xml:space="preserve">Discount gap (pts)</t>
  </si>
  <si>
    <t xml:space="preserve">Discount saving @100% ₹L/mo</t>
  </si>
  <si>
    <t xml:space="preserve">Lost-contribution coefficient ₹L per 1% order loss</t>
  </si>
  <si>
    <t xml:space="preserve">Wastage gap (pts)</t>
  </si>
  <si>
    <t xml:space="preserve">Wastage saving @100% ₹L/mo</t>
  </si>
  <si>
    <t xml:space="preserve">Excess FTE</t>
  </si>
  <si>
    <t xml:space="preserve">Labour saving @100% ₹L/mo</t>
  </si>
  <si>
    <t xml:space="preserve">Delivery gap ₹/order</t>
  </si>
  <si>
    <t xml:space="preserve">Delivery saving @100% ₹L/mo</t>
  </si>
  <si>
    <t xml:space="preserve">Area sq ft</t>
  </si>
  <si>
    <t xml:space="preserve">Required area sq ft</t>
  </si>
  <si>
    <t xml:space="preserve">Excess area sq ft</t>
  </si>
  <si>
    <t xml:space="preserve">Rent ₹/sq ft</t>
  </si>
  <si>
    <t xml:space="preserve">Market rent ₹/sq ft</t>
  </si>
  <si>
    <t xml:space="preserve">Rent lever eligible</t>
  </si>
  <si>
    <t xml:space="preserve">Rent saving @100% ₹L/mo</t>
  </si>
  <si>
    <t xml:space="preserve">Controllable fix @ class realisation ₹L/mo</t>
  </si>
  <si>
    <t xml:space="preserve">EBITDA after fixes ₹L/mo</t>
  </si>
  <si>
    <t xml:space="preserve">Headroom capture %</t>
  </si>
  <si>
    <t xml:space="preserve">Incremental contribution ₹L/mo</t>
  </si>
  <si>
    <t xml:space="preserve">EBITDA at potential volume ₹L/mo</t>
  </si>
  <si>
    <t xml:space="preserve">… with full rent action ₹L/mo</t>
  </si>
  <si>
    <t xml:space="preserve">Neighbour usable capacity</t>
  </si>
  <si>
    <t xml:space="preserve">Neighbour spare orders/day</t>
  </si>
  <si>
    <t xml:space="preserve">Transferable orders/day</t>
  </si>
  <si>
    <t xml:space="preserve">Closure net benefit ₹L/mo</t>
  </si>
  <si>
    <t xml:space="preserve">Exit cash cost ₹L</t>
  </si>
  <si>
    <t xml:space="preserve">Non-cash write-off ₹L</t>
  </si>
  <si>
    <t xml:space="preserve">Closure payback (months)</t>
  </si>
  <si>
    <t xml:space="preserve">STORE CLASS</t>
  </si>
  <si>
    <t xml:space="preserve">Neighbour class</t>
  </si>
  <si>
    <t xml:space="preserve">EBITDA quartile</t>
  </si>
  <si>
    <t xml:space="preserve">Manpower ₹L/mo</t>
  </si>
  <si>
    <t xml:space="preserve">NOV/order ₹</t>
  </si>
  <si>
    <t xml:space="preserve">Margin+fee+ads/order ₹</t>
  </si>
  <si>
    <t xml:space="preserve">(unused)</t>
  </si>
  <si>
    <t xml:space="preserve">Wastage/order ₹</t>
  </si>
  <si>
    <t xml:space="preserve">Delivery/order ₹</t>
  </si>
  <si>
    <t xml:space="preserve">Pick-pack+payment/order ₹</t>
  </si>
  <si>
    <t xml:space="preserve">Manpower/order ₹</t>
  </si>
  <si>
    <t xml:space="preserve">Rent/order ₹</t>
  </si>
  <si>
    <t xml:space="preserve">Utilities+marketing/order ₹</t>
  </si>
  <si>
    <t xml:space="preserve">EBITDA/order ₹</t>
  </si>
  <si>
    <t xml:space="preserve">Lock-in (months)</t>
  </si>
  <si>
    <t xml:space="preserve">Closure candidate seq</t>
  </si>
  <si>
    <t xml:space="preserve">BUSINESS CASE &amp; SCENARIOS — Conservative / Base / Upside (₹ lakh per month unless stated)</t>
  </si>
  <si>
    <t xml:space="preserve">Scope: the 60-store diagnostic perimeter only. Benefits are FORECAST (not pilot-validated, not realised). Formulas link to sheet 3 store-level opportunity sizing; every lever is calculated once per store to prevent double counting.</t>
  </si>
  <si>
    <t xml:space="preserve">A. Scenario parameters (blue = editable; yellow = key assumptions)</t>
  </si>
  <si>
    <t xml:space="preserve">Base</t>
  </si>
  <si>
    <t xml:space="preserve">Upside</t>
  </si>
  <si>
    <t xml:space="preserve">Realisation of discount gap closure</t>
  </si>
  <si>
    <t xml:space="preserve">Share of gap to peer-median discount actually closed; targeted, not blanket, cuts</t>
  </si>
  <si>
    <t xml:space="preserve">Order loss per 1 pt discount reduction</t>
  </si>
  <si>
    <t xml:space="preserve">ASSUMED — not measured; must be validated in pilot (A/B stores)</t>
  </si>
  <si>
    <t xml:space="preserve">Realisation of wastage gap closure</t>
  </si>
  <si>
    <t xml:space="preserve">Assortment / replenishment cycle changes take time</t>
  </si>
  <si>
    <t xml:space="preserve">Realisation of excess-FTE reduction</t>
  </si>
  <si>
    <t xml:space="preserve">Roster redesign; attrition-led, protect service levels</t>
  </si>
  <si>
    <t xml:space="preserve">Realisation of delivery cost gap closure</t>
  </si>
  <si>
    <t xml:space="preserve">Rider batching and radius rules</t>
  </si>
  <si>
    <t xml:space="preserve">Realisation of rent action (resize / renegotiate)</t>
  </si>
  <si>
    <t xml:space="preserve">Landlord negotiation success; only leases with lock-in ≤ 12 months</t>
  </si>
  <si>
    <t xml:space="preserve">Closure payback gate</t>
  </si>
  <si>
    <t xml:space="preserve">Close a store only if exit cash cost pays back within this period</t>
  </si>
  <si>
    <t xml:space="preserve">Orders transferred to absorbing store</t>
  </si>
  <si>
    <t xml:space="preserve">% of orders</t>
  </si>
  <si>
    <t xml:space="preserve">ASSUMED — validate through pilot demand-transfer test</t>
  </si>
  <si>
    <t xml:space="preserve">Interaction haircut on operating levers</t>
  </si>
  <si>
    <t xml:space="preserve">Protects against overlap between levers (e.g. discount cuts lower volume that labour savings assume)</t>
  </si>
  <si>
    <t xml:space="preserve">Cost contingency on one-time items</t>
  </si>
  <si>
    <t xml:space="preserve">Overrun allowance</t>
  </si>
  <si>
    <t xml:space="preserve">Share of FTE reduction needing severance</t>
  </si>
  <si>
    <t xml:space="preserve">Remainder through attrition / redeployment</t>
  </si>
  <si>
    <t xml:space="preserve">Fit-out cost to hand back / partition space</t>
  </si>
  <si>
    <t xml:space="preserve">B. Scenario results — financial bridge from baseline to post-programme run-rate (₹ lakh per month)</t>
  </si>
  <si>
    <t xml:space="preserve">Line</t>
  </si>
  <si>
    <t xml:space="preserve">Formula / note</t>
  </si>
  <si>
    <t xml:space="preserve">Baseline store EBITDA (run-rate quarter, 60 stores)</t>
  </si>
  <si>
    <t xml:space="preserve">₹L/mo</t>
  </si>
  <si>
    <t xml:space="preserve">Sum of sheet 3 store EBITDA</t>
  </si>
  <si>
    <t xml:space="preserve">Discount &amp; basket: net of order-loss contribution</t>
  </si>
  <si>
    <t xml:space="preserve">Realisation x (discount saving − elasticity x lost contribution)</t>
  </si>
  <si>
    <t xml:space="preserve">Inventory &amp; wastage</t>
  </si>
  <si>
    <t xml:space="preserve">Realisation x gap to peer-median wastage x NOV</t>
  </si>
  <si>
    <t xml:space="preserve">Store labour productivity</t>
  </si>
  <si>
    <t xml:space="preserve">Realisation x excess FTE x loaded cost</t>
  </si>
  <si>
    <t xml:space="preserve">Delivery &amp; fulfilment efficiency</t>
  </si>
  <si>
    <t xml:space="preserve">Realisation x gap to median delivery cost/order x orders</t>
  </si>
  <si>
    <t xml:space="preserve">Rent &amp; footprint</t>
  </si>
  <si>
    <t xml:space="preserve">Eligible leases only; excess area + above-market rent</t>
  </si>
  <si>
    <t xml:space="preserve">Less: interaction haircut (anti double-counting)</t>
  </si>
  <si>
    <t xml:space="preserve">Haircut % x sum of five operating levers</t>
  </si>
  <si>
    <t xml:space="preserve">Network rationalisation (closures net of transferred contribution)</t>
  </si>
  <si>
    <t xml:space="preserve">Avoided loss + contribution on transferred orders − none counted for other levers on closed stores</t>
  </si>
  <si>
    <t xml:space="preserve">Less: recurring programme cost</t>
  </si>
  <si>
    <t xml:space="preserve">From Section D</t>
  </si>
  <si>
    <t xml:space="preserve">Net monthly run-rate benefit</t>
  </si>
  <si>
    <t xml:space="preserve">Sum of the lines above (excl. baseline)</t>
  </si>
  <si>
    <t xml:space="preserve">Annualised net benefit</t>
  </si>
  <si>
    <t xml:space="preserve">₹ crore/yr</t>
  </si>
  <si>
    <t xml:space="preserve">Net monthly x 12 / 100</t>
  </si>
  <si>
    <t xml:space="preserve">Post-programme store EBITDA run-rate (60 stores)</t>
  </si>
  <si>
    <t xml:space="preserve">Baseline + net monthly benefit</t>
  </si>
  <si>
    <t xml:space="preserve">Post-programme store EBITDA, annualised</t>
  </si>
  <si>
    <t xml:space="preserve">Baseline NOV</t>
  </si>
  <si>
    <t xml:space="preserve">Net NOV change (revenue ≠ profit)</t>
  </si>
  <si>
    <t xml:space="preserve">Discount savings raise NOV per order; order loss and closures reduce volume</t>
  </si>
  <si>
    <t xml:space="preserve">Baseline store EBITDA % NOV</t>
  </si>
  <si>
    <t xml:space="preserve">Post-programme store EBITDA % NOV (before central costs)</t>
  </si>
  <si>
    <t xml:space="preserve">Stores closed</t>
  </si>
  <si>
    <t xml:space="preserve">Residual loss-making stores (post-programme, operating)</t>
  </si>
  <si>
    <t xml:space="preserve">Count of operating stores with post-programme EBITDA &lt; 0</t>
  </si>
  <si>
    <t xml:space="preserve">Loss-making stores at baseline</t>
  </si>
  <si>
    <t xml:space="preserve">Orders lost/day from discount lever (est.)</t>
  </si>
  <si>
    <t xml:space="preserve">orders/day</t>
  </si>
  <si>
    <t xml:space="preserve">Elasticity x pts cut x orders</t>
  </si>
  <si>
    <t xml:space="preserve">One-time implementation &amp; exit cost (cash)</t>
  </si>
  <si>
    <t xml:space="preserve">Simple payback (one-time cost / net monthly run-rate benefit)</t>
  </si>
  <si>
    <t xml:space="preserve">Payback month on 12-month ramp (cumulative cash ≥ 0)</t>
  </si>
  <si>
    <t xml:space="preserve">month #</t>
  </si>
  <si>
    <t xml:space="preserve">Section E</t>
  </si>
  <si>
    <t xml:space="preserve">Year-1 net benefit after one-time costs (12-month ramp)</t>
  </si>
  <si>
    <t xml:space="preserve">₹ crore</t>
  </si>
  <si>
    <t xml:space="preserve">Non-cash asset write-off on closures (excluded from payback)</t>
  </si>
  <si>
    <t xml:space="preserve">Accounting charge; shown for transparency</t>
  </si>
  <si>
    <t xml:space="preserve">C. One-time implementation / exit costs and recurring costs (₹ lakh)</t>
  </si>
  <si>
    <t xml:space="preserve">Item</t>
  </si>
  <si>
    <t xml:space="preserve">Intervention</t>
  </si>
  <si>
    <t xml:space="preserve">Base input (₹L, before contingency)</t>
  </si>
  <si>
    <t xml:space="preserve">Discount governance, basket-nudge rules and monitoring set-up</t>
  </si>
  <si>
    <t xml:space="preserve">Input ₹ lakh</t>
  </si>
  <si>
    <t xml:space="preserve">1 Discount &amp; basket</t>
  </si>
  <si>
    <t xml:space="preserve">Wastage programme: assortment tiering, replenishment cycles, shrink-audit training</t>
  </si>
  <si>
    <t xml:space="preserve">2 Inventory &amp; wastage</t>
  </si>
  <si>
    <t xml:space="preserve">Roster / workforce-scheduling redesign and training</t>
  </si>
  <si>
    <t xml:space="preserve">3 Store productivity</t>
  </si>
  <si>
    <t xml:space="preserve">Severance / notice on FTE reduction</t>
  </si>
  <si>
    <t xml:space="preserve">Formula</t>
  </si>
  <si>
    <t xml:space="preserve">Rider batching and radius-rule configuration, rider communication</t>
  </si>
  <si>
    <t xml:space="preserve">Rent: legal / broker fees (1.5 months of rent saving) + fit-out of released space</t>
  </si>
  <si>
    <t xml:space="preserve">4 Rent &amp; footprint</t>
  </si>
  <si>
    <t xml:space="preserve">Closure exit cash: lease break + severance + hand-back</t>
  </si>
  <si>
    <t xml:space="preserve">5 Network rationalisation</t>
  </si>
  <si>
    <t xml:space="preserve">Programme office set-up and change management</t>
  </si>
  <si>
    <t xml:space="preserve">Programme</t>
  </si>
  <si>
    <t xml:space="preserve">Total one-time cost (cash)</t>
  </si>
  <si>
    <t xml:space="preserve">Recurring costs (₹ lakh per month)</t>
  </si>
  <si>
    <t xml:space="preserve">Programme office, analytics (Power BI refresh) and governance</t>
  </si>
  <si>
    <t xml:space="preserve">₹L per month</t>
  </si>
  <si>
    <t xml:space="preserve">Discount monitoring and exception handling</t>
  </si>
  <si>
    <t xml:space="preserve">Wastage audits</t>
  </si>
  <si>
    <t xml:space="preserve">Roster monitoring</t>
  </si>
  <si>
    <t xml:space="preserve">Total recurring cost</t>
  </si>
  <si>
    <t xml:space="preserve">D. 12-month ramp and cumulative cash profile (months 1–12 from programme launch)</t>
  </si>
  <si>
    <t xml:space="preserve">Lever timing</t>
  </si>
  <si>
    <t xml:space="preserve">Start month</t>
  </si>
  <si>
    <t xml:space="preserve">Full run-rate 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</si>
  <si>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</si>
  <si>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</si>
  <si>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</si>
  <si>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</si>
  <si>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</si>
  <si>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</si>
  <si>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</si>
  <si>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</si>
  <si>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</si>
  <si>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</si>
  <si>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</si>
  <si>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</si>
  <si>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Discount &amp; basket</t>
  </si>
  <si>
    <t xml:space="preserve">Network rationalisation</t>
  </si>
  <si>
    <t xml:space="preserve">Cash profile (₹ lakh)</t>
  </si>
  <si>
    <t xml:space="preserve">Scenario</t>
  </si>
  <si>
    <t xml:space="preserve">Operating benefit (ramped, after haircut)</t>
  </si>
  <si>
    <t xml:space="preserve">One-time costs</t>
  </si>
  <si>
    <t xml:space="preserve">Net cash flow (after recurring cost)</t>
  </si>
  <si>
    <t xml:space="preserve">Cumulative net cash</t>
  </si>
  <si>
    <t xml:space="preserve">Payback flag (month if cumulative ≥ 0)</t>
  </si>
  <si>
    <t xml:space="preserve">E. Intervention register — Base case (annual run-rate benefit ₹ crore; forecast, pending pilot validation)</t>
  </si>
  <si>
    <t xml:space="preserve">Annual benefit ₹ cr (Base)</t>
  </si>
  <si>
    <t xml:space="preserve">One-time cost ₹ L (Base)</t>
  </si>
  <si>
    <t xml:space="preserve">Recurring ₹L/mo</t>
  </si>
  <si>
    <t xml:space="preserve">Payback (months)</t>
  </si>
  <si>
    <t xml:space="preserve">Accountable owner</t>
  </si>
  <si>
    <t xml:space="preserve">Timeline (start–full)</t>
  </si>
  <si>
    <t xml:space="preserve">Success KPI</t>
  </si>
  <si>
    <t xml:space="preserve">Risk and mitigation</t>
  </si>
  <si>
    <t xml:space="preserve">Evidence (sheet 3 / sheet 2)</t>
  </si>
  <si>
    <t xml:space="preserve">1. Targeted discount &amp; basket economics (retention-led)</t>
  </si>
  <si>
    <t xml:space="preserve">Chief Commercial Officer</t>
  </si>
  <si>
    <t xml:space="preserve">M2–M4</t>
  </si>
  <si>
    <t xml:space="preserve">Discount % GOV vs peer median; repeat share; small-basket share; orders/day</t>
  </si>
  <si>
    <t xml:space="preserve">Order loss &gt; assumed elasticity → stop-loss trigger; keep loyalty offers for repeat customers</t>
  </si>
  <si>
    <t xml:space="preserve">Discount gap, new-customer discount dependency, small-basket contribution (sections F–G on sheet 1; sheet 3)</t>
  </si>
  <si>
    <t xml:space="preserve">2. Inventory &amp; wastage programme</t>
  </si>
  <si>
    <t xml:space="preserve">Head of Supply Chain / Category</t>
  </si>
  <si>
    <t xml:space="preserve">M3–M6</t>
  </si>
  <si>
    <t xml:space="preserve">Wastage % NOV; stockout % lines; days of inventory (fresh)</t>
  </si>
  <si>
    <t xml:space="preserve">Over-correction raises stockouts → availability floor KPI</t>
  </si>
  <si>
    <t xml:space="preserve">Wastage gap vs peer median; fresh wastage in low-volume tier (sheet 1 Section H)</t>
  </si>
  <si>
    <t xml:space="preserve">3. Store productivity: roster and rider batching</t>
  </si>
  <si>
    <t xml:space="preserve">COO / City Operations Heads</t>
  </si>
  <si>
    <t xml:space="preserve">M3–M8</t>
  </si>
  <si>
    <t xml:space="preserve">Orders per FTE per day; delivery cost per order; on-time delivery %</t>
  </si>
  <si>
    <t xml:space="preserve">Service levels slip → on-time floor with automatic rollback</t>
  </si>
  <si>
    <t xml:space="preserve">Excess FTE vs peer productivity; delivery cost gap (sheet 3)</t>
  </si>
  <si>
    <t xml:space="preserve">4. Rent &amp; footprint: resize and renegotiate</t>
  </si>
  <si>
    <t xml:space="preserve">Head of Real Estate / CFO</t>
  </si>
  <si>
    <t xml:space="preserve">M5–M10</t>
  </si>
  <si>
    <t xml:space="preserve">Rent % NOV; sq ft per 100 orders/day</t>
  </si>
  <si>
    <t xml:space="preserve">Landlord refusal / lock-ins → only leases ≤ 12-month lock-in counted</t>
  </si>
  <si>
    <t xml:space="preserve">Excess area and above-market rent (sheet 3, sheet 1 Section E)</t>
  </si>
  <si>
    <t xml:space="preserve">5. Network rationalisation: close only where customers are covered</t>
  </si>
  <si>
    <t xml:space="preserve">CEO / COO with CFO sign-off</t>
  </si>
  <si>
    <t xml:space="preserve">M4–M8 (after pilot gate)</t>
  </si>
  <si>
    <t xml:space="preserve">Orders retained in catchment; delivery SLA in transferred zones; exit cost vs plan</t>
  </si>
  <si>
    <t xml:space="preserve">Demand transfer below assumption → stage-gate, reversal option, no closure without neighbour spare capacity</t>
  </si>
  <si>
    <t xml:space="preserve">Structural loss after fixes; neighbour spare capacity (sheet 3)</t>
  </si>
  <si>
    <t xml:space="preserve">Total interventions (before programme costs)</t>
  </si>
  <si>
    <t xml:space="preserve">Programme costs (PMO set-up one-time; recurring programme cost)</t>
  </si>
  <si>
    <t xml:space="preserve">Check: interventions − recurring programme cost = Base annualised net benefit</t>
  </si>
  <si>
    <t xml:space="preserve">F. Interventions considered but not prioritised (and why)</t>
  </si>
  <si>
    <t xml:space="preserve">Blanket cost cutting / across-the-board FTE reduction</t>
  </si>
  <si>
    <t xml:space="preserve">Cuts service levels in strong stores; the evidence shows productivity gaps are store-specific (sheet 3). Targeted roster action is used instead.</t>
  </si>
  <si>
    <t xml:space="preserve">Automatic closure of every loss-making store</t>
  </si>
  <si>
    <t xml:space="preserve">Most loss-making stores are ramping or fixable; closure is allowed only where structural losses persist after fixes AND a neighbour can absorb demand AND payback is within the gate.</t>
  </si>
  <si>
    <t xml:space="preserve">Delivery-fee / price increases</t>
  </si>
  <si>
    <t xml:space="preserve">Would add revenue but no elasticity data exists in this dataset; reliance on untested pricing response would overstate benefit. Parked for pilot.</t>
  </si>
  <si>
    <t xml:space="preserve">Further ad-income push</t>
  </si>
  <si>
    <t xml:space="preserve">Ad income already scales with volume in the data; no store-level evidence of unmonetised inventory. Not sized.</t>
  </si>
  <si>
    <t xml:space="preserve">New store openings in white-space</t>
  </si>
  <si>
    <t xml:space="preserve">Out of scope of the profitability mandate until existing stores reach breakeven; relocation upside not quantified (no alternative-site data).</t>
  </si>
  <si>
    <t xml:space="preserve">Central overhead / technology cost reduction</t>
  </si>
  <si>
    <t xml:space="preserve">Outside store-level dataset; central costs are excluded from store EBITDA (disclosed limitation).</t>
  </si>
  <si>
    <t xml:space="preserve">G. Benefit status ledger — forecast vs pilot-validated vs realised (Base case, annualised ₹ crore)</t>
  </si>
  <si>
    <t xml:space="preserve">₹ crore / yr</t>
  </si>
  <si>
    <t xml:space="preserve">Evidence</t>
  </si>
  <si>
    <t xml:space="preserve">Forecast (model-based, this workbook)</t>
  </si>
  <si>
    <t xml:space="preserve">Driven by peer-gap sizing and assumed realisation / elasticity / transfer rates</t>
  </si>
  <si>
    <t xml:space="preserve">Pilot-validated</t>
  </si>
  <si>
    <t xml:space="preserve">None yet: pilots are designed on sheet 5 but not executed in this simulation</t>
  </si>
  <si>
    <t xml:space="preserve">Realised</t>
  </si>
  <si>
    <t xml:space="preserve">None: no implementation has occurred; no outcome is claimed</t>
  </si>
  <si>
    <t xml:space="preserve">H. Store-level lever calculation by scenario (60 stores; filter enabled)</t>
  </si>
  <si>
    <t xml:space="preserve">Class (sheet 3)</t>
  </si>
  <si>
    <t xml:space="preserve">Baseline EBITDA ₹L/mo</t>
  </si>
  <si>
    <t xml:space="preserve">Discount saving @100%</t>
  </si>
  <si>
    <t xml:space="preserve">Lost-contribution coef.</t>
  </si>
  <si>
    <t xml:space="preserve">Wastage saving @100%</t>
  </si>
  <si>
    <t xml:space="preserve">Labour saving @100%</t>
  </si>
  <si>
    <t xml:space="preserve">Delivery saving @100%</t>
  </si>
  <si>
    <t xml:space="preserve">Rent saving @100%</t>
  </si>
  <si>
    <t xml:space="preserve">Excess area (eligible) sq ft</t>
  </si>
  <si>
    <t xml:space="preserve">Discount NOV coef. (gap pts x100 x NOV)</t>
  </si>
  <si>
    <t xml:space="preserve">Dist. to neighbour km</t>
  </si>
  <si>
    <t xml:space="preserve">Neighbour baseline EBITDA ₹L/mo</t>
  </si>
  <si>
    <t xml:space="preserve">Cons: transferable orders/day</t>
  </si>
  <si>
    <t xml:space="preserve">Cons: closure net benefit ₹L/mo</t>
  </si>
  <si>
    <t xml:space="preserve">Cons: closure payback (m)</t>
  </si>
  <si>
    <t xml:space="preserve">Cons: closed (1/0)</t>
  </si>
  <si>
    <t xml:space="preserve">Cons: operating levers (pre-haircut) ₹L/mo</t>
  </si>
  <si>
    <t xml:space="preserve">Cons: post-programme store EBITDA ₹L/mo</t>
  </si>
  <si>
    <t xml:space="preserve">Base: transferable orders/day</t>
  </si>
  <si>
    <t xml:space="preserve">Base: closure net benefit ₹L/mo</t>
  </si>
  <si>
    <t xml:space="preserve">Base: closure payback (m)</t>
  </si>
  <si>
    <t xml:space="preserve">Base: closed (1/0)</t>
  </si>
  <si>
    <t xml:space="preserve">Base: operating levers (pre-haircut) ₹L/mo</t>
  </si>
  <si>
    <t xml:space="preserve">Base: post-programme store EBITDA ₹L/mo</t>
  </si>
  <si>
    <t xml:space="preserve">Up: transferable orders/day</t>
  </si>
  <si>
    <t xml:space="preserve">Up: closure net benefit ₹L/mo</t>
  </si>
  <si>
    <t xml:space="preserve">Up: closure payback (m)</t>
  </si>
  <si>
    <t xml:space="preserve">Up: closed (1/0)</t>
  </si>
  <si>
    <t xml:space="preserve">Up: operating levers (pre-haircut) ₹L/mo</t>
  </si>
  <si>
    <t xml:space="preserve">Up: post-programme store EBITDA ₹L/mo</t>
  </si>
  <si>
    <t xml:space="preserve">EXECUTION &amp; KPI GOVERNANCE — 30/60/90-day plan, 12-month roadmap, pilots, KPIs and safeguards</t>
  </si>
  <si>
    <t xml:space="preserve">Baselines and targets are formulas linked to sheets 2–4 (Base case). Owners are role titles in the fictional client; no real individuals are implied.</t>
  </si>
  <si>
    <t xml:space="preserve">A. 30 / 60 / 90-day plan</t>
  </si>
  <si>
    <t xml:space="preserve">Phase</t>
  </si>
  <si>
    <t xml:space="preserve">Workstream</t>
  </si>
  <si>
    <t xml:space="preserve">Key actions</t>
  </si>
  <si>
    <t xml:space="preserve">Dependency</t>
  </si>
  <si>
    <t xml:space="preserve">Exit gate / deliverable</t>
  </si>
  <si>
    <t xml:space="preserve">Days 1–30 Mobilise</t>
  </si>
  <si>
    <t xml:space="preserve">Programme &amp; data</t>
  </si>
  <si>
    <t xml:space="preserve">Stand up PMO; freeze KPI definitions (sheet 1 Section A); build KPI cockpit on this model; weekly store P&amp;L close</t>
  </si>
  <si>
    <t xml:space="preserve">COO (programme lead); CFO (data owner)</t>
  </si>
  <si>
    <t xml:space="preserve">Store P&amp;L close by working day 5</t>
  </si>
  <si>
    <t xml:space="preserve">Baseline signed off by CFO</t>
  </si>
  <si>
    <t xml:space="preserve">Design basket thresholds and new-customer offer rules; define A/B design</t>
  </si>
  <si>
    <t xml:space="preserve">Pricing-rule access in app</t>
  </si>
  <si>
    <t xml:space="preserve">Rules approved; pilot stores locked</t>
  </si>
  <si>
    <t xml:space="preserve">Tier assortment by store volume; set replenishment cycles for fresh</t>
  </si>
  <si>
    <t xml:space="preserve">Head of Supply Chain</t>
  </si>
  <si>
    <t xml:space="preserve">Vendor lead-time data</t>
  </si>
  <si>
    <t xml:space="preserve">Assortment tiers published</t>
  </si>
  <si>
    <t xml:space="preserve">Store productivity</t>
  </si>
  <si>
    <t xml:space="preserve">Baseline rosters vs demand curve; rider batching rules drafted</t>
  </si>
  <si>
    <t xml:space="preserve">COO / City Ops Heads</t>
  </si>
  <si>
    <t xml:space="preserve">Shift data from HR</t>
  </si>
  <si>
    <t xml:space="preserve">Roster templates ready</t>
  </si>
  <si>
    <t xml:space="preserve">Rent &amp; network</t>
  </si>
  <si>
    <t xml:space="preserve">Open talks on leases with lock-in ≤ 12 months; design soft demand-transfer test for closure candidates (no closures yet)</t>
  </si>
  <si>
    <t xml:space="preserve">Head of Real Estate; CFO</t>
  </si>
  <si>
    <t xml:space="preserve">Landlord access; legal review</t>
  </si>
  <si>
    <t xml:space="preserve">Negotiation brief; test design</t>
  </si>
  <si>
    <t xml:space="preserve">Days 31–60 Pilot</t>
  </si>
  <si>
    <t xml:space="preserve">All levers</t>
  </si>
  <si>
    <t xml:space="preserve">Run pilots in selected stores against control stores (Section B); weekly read-out</t>
  </si>
  <si>
    <t xml:space="preserve">Lever owners; PMO</t>
  </si>
  <si>
    <t xml:space="preserve">Pilot stores and controls frozen</t>
  </si>
  <si>
    <t xml:space="preserve">Weekly pilot scorecard</t>
  </si>
  <si>
    <t xml:space="preserve">Soft demand-transfer test: redirect delivery pin-codes from closure candidates to neighbour; measure retained orders and SLA</t>
  </si>
  <si>
    <t xml:space="preserve">COO</t>
  </si>
  <si>
    <t xml:space="preserve">Neighbour capacity confirmed</t>
  </si>
  <si>
    <t xml:space="preserve">Measured transfer rate vs assumption</t>
  </si>
  <si>
    <t xml:space="preserve">Days 61–90 Validate</t>
  </si>
  <si>
    <t xml:space="preserve">Decision gate</t>
  </si>
  <si>
    <t xml:space="preserve">Compare pilot vs thresholds; re-run workbook with measured elasticity and transfer rates; classify benefits as pilot-validated</t>
  </si>
  <si>
    <t xml:space="preserve">CEO; CFO; steering committee</t>
  </si>
  <si>
    <t xml:space="preserve">Pilot data complete</t>
  </si>
  <si>
    <t xml:space="preserve">Go / adjust / stop per lever</t>
  </si>
  <si>
    <t xml:space="preserve">Scale-up prep</t>
  </si>
  <si>
    <t xml:space="preserve">Roll-out plan for validated levers; lease actions for eligible stores; closure approvals only for stores meeting all three tests</t>
  </si>
  <si>
    <t xml:space="preserve">COO; Head of Real Estate</t>
  </si>
  <si>
    <t xml:space="preserve">Gate approval</t>
  </si>
  <si>
    <t xml:space="preserve">12-month plan locked</t>
  </si>
  <si>
    <t xml:space="preserve">B. Pilot design — highest-gap stores as pilots, next-highest-gap stores as controls (formula-selected from sheet 3)</t>
  </si>
  <si>
    <t xml:space="preserve">Lever</t>
  </si>
  <si>
    <t xml:space="preserve">Pilot 1</t>
  </si>
  <si>
    <t xml:space="preserve">Pilot 2</t>
  </si>
  <si>
    <t xml:space="preserve">Pilot 3</t>
  </si>
  <si>
    <t xml:space="preserve">Control 1</t>
  </si>
  <si>
    <t xml:space="preserve">Control 2</t>
  </si>
  <si>
    <t xml:space="preserve">Control 3</t>
  </si>
  <si>
    <t xml:space="preserve">Gap in pilot stores ₹L/mo</t>
  </si>
  <si>
    <t xml:space="preserve">Success threshold</t>
  </si>
  <si>
    <t xml:space="preserve">Stop-loss / rollback</t>
  </si>
  <si>
    <t xml:space="preserve">Net contribution uplift ≥ 70% of modelled; order loss ≤ assumed elasticity</t>
  </si>
  <si>
    <t xml:space="preserve">Order loss &gt; 1.5x assumed or repeat share −2 pts</t>
  </si>
  <si>
    <t xml:space="preserve">Wastage % NOV gap closed ≥ 60%; stockout rise ≤ 1 pt</t>
  </si>
  <si>
    <t xml:space="preserve">Stockout &gt; baseline + 1 pt for 2 weeks</t>
  </si>
  <si>
    <t xml:space="preserve">Labour productivity</t>
  </si>
  <si>
    <t xml:space="preserve">Orders/FTE/day +10% with on-time delivery within 1 pt</t>
  </si>
  <si>
    <t xml:space="preserve">On-time delivery &lt; baseline − 1 pt for 2 weeks</t>
  </si>
  <si>
    <t xml:space="preserve">Delivery batching</t>
  </si>
  <si>
    <t xml:space="preserve">Delivery ₹/order gap closed ≥ 50%</t>
  </si>
  <si>
    <t xml:space="preserve">Avg delivery time &gt; baseline + 0.5 min</t>
  </si>
  <si>
    <t xml:space="preserve">Signed rent / space reduction ≥ 50% of modelled</t>
  </si>
  <si>
    <t xml:space="preserve">Landlord counter erodes &lt; 30% of modelled → defer</t>
  </si>
  <si>
    <t xml:space="preserve">Network (closure candidates)</t>
  </si>
  <si>
    <t xml:space="preserve">(no controls: transfer test)</t>
  </si>
  <si>
    <t xml:space="preserve">Retained orders ≥ assumed transfer rate; SLA held in transferred zone</t>
  </si>
  <si>
    <t xml:space="preserve">Transfer &lt; 80% of assumed → do not close</t>
  </si>
  <si>
    <t xml:space="preserve">C. 12-month roadmap (■ = active; edit start / end months in blue)</t>
  </si>
  <si>
    <t xml:space="preserve">Start</t>
  </si>
  <si>
    <t xml:space="preserve">End</t>
  </si>
  <si>
    <t xml:space="preserve">Owner</t>
  </si>
  <si>
    <t xml:space="preserve">PMO, KPI cockpit &amp; governance</t>
  </si>
  <si>
    <t xml:space="preserve">Discount &amp; basket — pilot</t>
  </si>
  <si>
    <t xml:space="preserve">Discount &amp; basket — roll-out</t>
  </si>
  <si>
    <t xml:space="preserve">Inventory &amp; wastage — pilot</t>
  </si>
  <si>
    <t xml:space="preserve">Inventory &amp; wastage — roll-out</t>
  </si>
  <si>
    <t xml:space="preserve">Roster &amp; rider batching — pilot</t>
  </si>
  <si>
    <t xml:space="preserve">Roster &amp; rider batching — roll-out</t>
  </si>
  <si>
    <t xml:space="preserve">City Ops Heads</t>
  </si>
  <si>
    <t xml:space="preserve">Lease actions — eligible stores</t>
  </si>
  <si>
    <t xml:space="preserve">Head of Real Estate</t>
  </si>
  <si>
    <t xml:space="preserve">Demand-transfer test</t>
  </si>
  <si>
    <t xml:space="preserve">Closure execution (gated)</t>
  </si>
  <si>
    <t xml:space="preserve">CEO / CFO</t>
  </si>
  <si>
    <t xml:space="preserve">Turn-around store reviews (90-day gates)</t>
  </si>
  <si>
    <t xml:space="preserve">Benefit validation &amp; finance reconciliation</t>
  </si>
  <si>
    <t xml:space="preserve">CFO</t>
  </si>
  <si>
    <t xml:space="preserve">D. KPI governance — baseline, Base-case target, owner, cadence and escalation</t>
  </si>
  <si>
    <t xml:space="preserve">KPI</t>
  </si>
  <si>
    <t xml:space="preserve">Baseline (Q2 FY27 run-rate)</t>
  </si>
  <si>
    <t xml:space="preserve">Base target / guardrail</t>
  </si>
  <si>
    <t xml:space="preserve">Review cadence</t>
  </si>
  <si>
    <t xml:space="preserve">Escalation trigger (red)</t>
  </si>
  <si>
    <t xml:space="preserve">Source</t>
  </si>
  <si>
    <t xml:space="preserve">Store EBITDA (60 stores)</t>
  </si>
  <si>
    <t xml:space="preserve">₹L / month</t>
  </si>
  <si>
    <t xml:space="preserve">Monthly</t>
  </si>
  <si>
    <t xml:space="preserve">&lt; 80% of ramped target for 2 months</t>
  </si>
  <si>
    <t xml:space="preserve">Sheet 4 Section B</t>
  </si>
  <si>
    <t xml:space="preserve">% NOV</t>
  </si>
  <si>
    <t xml:space="preserve">&lt; baseline</t>
  </si>
  <si>
    <t xml:space="preserve">Sheet 4</t>
  </si>
  <si>
    <t xml:space="preserve">count</t>
  </si>
  <si>
    <t xml:space="preserve">No reduction after 90-day review</t>
  </si>
  <si>
    <t xml:space="preserve">Network orders per day (guardrail floor)</t>
  </si>
  <si>
    <t xml:space="preserve">Weekly</t>
  </si>
  <si>
    <t xml:space="preserve">Below floor for 2 weeks (2% below baseline)</t>
  </si>
  <si>
    <t xml:space="preserve">Sheet 3; floor = assumption</t>
  </si>
  <si>
    <t xml:space="preserve">% GOV</t>
  </si>
  <si>
    <t xml:space="preserve">Repeat share −2 pts or orders/day below floor</t>
  </si>
  <si>
    <t xml:space="preserve">Sheet 2 / 3</t>
  </si>
  <si>
    <t xml:space="preserve">Stockout &gt; baseline + 1 pt</t>
  </si>
  <si>
    <t xml:space="preserve">Orders per FTE per day</t>
  </si>
  <si>
    <t xml:space="preserve">orders/FTE</t>
  </si>
  <si>
    <t xml:space="preserve">On-time delivery &lt; baseline − 1 pt</t>
  </si>
  <si>
    <t xml:space="preserve">Sheet 3</t>
  </si>
  <si>
    <t xml:space="preserve">₹/order</t>
  </si>
  <si>
    <t xml:space="preserve">Rent % NOV</t>
  </si>
  <si>
    <t xml:space="preserve">Lease actions behind plan by &gt; 1 quarter</t>
  </si>
  <si>
    <t xml:space="preserve">Realised benefit vs plan (ramped)</t>
  </si>
  <si>
    <t xml:space="preserve">&lt; 80% of plan for 2 months</t>
  </si>
  <si>
    <t xml:space="preserve">Sheet 4 Section D; realised = 0 today</t>
  </si>
  <si>
    <t xml:space="preserve">E. Service-level safeguards (baseline from simulated data, run-rate quarter) and automatic rollback rules</t>
  </si>
  <si>
    <t xml:space="preserve">Safeguard</t>
  </si>
  <si>
    <t xml:space="preserve">Baseline</t>
  </si>
  <si>
    <t xml:space="preserve">Guardrail</t>
  </si>
  <si>
    <t xml:space="preserve">Rule</t>
  </si>
  <si>
    <t xml:space="preserve">On-time delivery % (order-weighted)</t>
  </si>
  <si>
    <t xml:space="preserve">Pause lever and roll back in store if below guardrail for 2 consecutive weeks</t>
  </si>
  <si>
    <t xml:space="preserve">Average delivery time (min)</t>
  </si>
  <si>
    <t xml:space="preserve">Roll back batching / roster change if above guardrail</t>
  </si>
  <si>
    <t xml:space="preserve">Stop wastage/assortment change if exceeded</t>
  </si>
  <si>
    <t xml:space="preserve">Relax discount rule if repeat share falls below guardrail</t>
  </si>
  <si>
    <t xml:space="preserve">Escalate to steering committee; check discount and availability levers first</t>
  </si>
  <si>
    <t xml:space="preserve">F. Governance cadence and benefit-recognition rules</t>
  </si>
  <si>
    <t xml:space="preserve">Store huddle and lever scorecard (pilot vs control stores); exceptions to PMO</t>
  </si>
  <si>
    <t xml:space="preserve">Fortnightly</t>
  </si>
  <si>
    <t xml:space="preserve">PMO review: milestones, dependencies, risks, stop-loss triggers</t>
  </si>
  <si>
    <t xml:space="preserve">Programme lead</t>
  </si>
  <si>
    <t xml:space="preserve">Steering committee (CEO chair; CFO, COO, CCO): KPI review, gate decisions, benefit re-forecast</t>
  </si>
  <si>
    <t xml:space="preserve">CEO</t>
  </si>
  <si>
    <t xml:space="preserve">Benefit rule</t>
  </si>
  <si>
    <t xml:space="preserve">A benefit is "pilot-validated" only when measured against control stores; "realised" only when reconciled to the store P&amp;L by Finance. Revenue is never counted as profit.</t>
  </si>
  <si>
    <t xml:space="preserve">Change control</t>
  </si>
  <si>
    <t xml:space="preserve">Any change to assumptions on sheet 4 requires CFO approval and a version note; closures require all three tests (structural loss, neighbour capacity, payback gate)</t>
  </si>
  <si>
    <t xml:space="preserve">CFO / CEO</t>
  </si>
  <si>
    <t xml:space="preserve">G. Power BI dashboard specification — DAX measures mirroring this workbook (specification only; no dashboard file is part of this deliverable)</t>
  </si>
  <si>
    <t xml:space="preserve">Measure</t>
  </si>
  <si>
    <t xml:space="preserve">DAX definition</t>
  </si>
  <si>
    <t xml:space="preserve">Purpose</t>
  </si>
  <si>
    <t xml:space="preserve">[GOV] - [Discounts]</t>
  </si>
  <si>
    <t xml:space="preserve">Net order value base</t>
  </si>
  <si>
    <t xml:space="preserve">[Contribution] - [Fixed Store Cost]</t>
  </si>
  <si>
    <t xml:space="preserve">Store P&amp;L bottom line</t>
  </si>
  <si>
    <t xml:space="preserve">DIVIDE([Store EBITDA],[NOV])</t>
  </si>
  <si>
    <t xml:space="preserve">Profitability ratio</t>
  </si>
  <si>
    <t xml:space="preserve">Orders per Day</t>
  </si>
  <si>
    <t xml:space="preserve">DIVIDE(SUM(StoreMonth[Orders]),SUM('Date'[DaysInMonth]))</t>
  </si>
  <si>
    <t xml:space="preserve">Volume vs breakeven</t>
  </si>
  <si>
    <t xml:space="preserve">Breakeven Orders per Day</t>
  </si>
  <si>
    <t xml:space="preserve">DIVIDE([Fixed Store Cost]/30.67,[Contribution per Order])</t>
  </si>
  <si>
    <t xml:space="preserve">Store viability test</t>
  </si>
  <si>
    <t xml:space="preserve">Peer Median Discount %</t>
  </si>
  <si>
    <t xml:space="preserve">MEDIANX(FILTER(ALL(Store),Store[AgeMonths]&gt;=12),[Discount % GOV])</t>
  </si>
  <si>
    <t xml:space="preserve">Benchmark for discount gap</t>
  </si>
  <si>
    <t xml:space="preserve">Discount Gap Saving</t>
  </si>
  <si>
    <t xml:space="preserve">SUMX(Store,MAX(0,[Discount % GOV]-[Peer Median Discount %])*[GOV])</t>
  </si>
  <si>
    <t xml:space="preserve">Opportunity sizing</t>
  </si>
  <si>
    <t xml:space="preserve">Store Class</t>
  </si>
  <si>
    <t xml:space="preserve">SWITCH(TRUE(),[EBITDA % NOV]&gt;=0.02&amp;&amp;[Headroom]&gt;=0.15,"Scale",[EBITDA]&gt;=0||[Fixed EBITDA]&gt;=0,"Optimise",...)</t>
  </si>
  <si>
    <t xml:space="preserve">Segmentation rule</t>
  </si>
  <si>
    <t xml:space="preserve">Benefit vs Control</t>
  </si>
  <si>
    <t xml:space="preserve">([EBITDA Pilot]-[EBITDA Pilot Baseline])-([EBITDA Control]-[EBITDA Control Baseline])</t>
  </si>
  <si>
    <t xml:space="preserve">Pilot validation (difference-in-differences)</t>
  </si>
  <si>
    <t xml:space="preserve">Tools and method: data preparation, reconciliation, financial modelling and KPI logic in Advanced Excel; dashboard logic specified for Power BI/DAX; Generative AI used to accelerate research synthesis and drafting, with every figure computed and reconciled in this workbook.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</si>
</sst>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-yy"/>
    <numFmt numFmtId="166" formatCode="#,##0;\(#,##0\);\-"/>
    <numFmt numFmtId="167" formatCode="0.0%;\(0.0%\);\-"/>
    <numFmt numFmtId="168" formatCode="#,##0.0;\(#,##0.0\);\-"/>
    <numFmt numFmtId="169" formatCode="#,##0.00;\(#,##0.00\);\-"/>
    <numFmt numFmtId="170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b val="true"/>
      <sz val="9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ont>
        <color rgb="FF2A7F8E"/>
      </font>
      <fill>
        <patternFill>
          <bgColor rgb="FF2A7F8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7F8E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24" min="4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true" outlineLevel="0" collapsed="false">
      <c r="A7" s="5" t="s">
        <v>5</v>
      </c>
      <c r="B7" s="5" t="s">
        <v>6</v>
      </c>
      <c r="C7" s="5"/>
      <c r="D7" s="5"/>
      <c r="E7" s="5"/>
      <c r="F7" s="5"/>
      <c r="G7" s="5"/>
      <c r="H7" s="5"/>
    </row>
    <row r="8" customFormat="false" ht="24" hidden="false" customHeight="true" outlineLevel="0" collapsed="false">
      <c r="A8" s="6" t="s">
        <v>7</v>
      </c>
      <c r="B8" s="7" t="s">
        <v>8</v>
      </c>
      <c r="C8" s="7"/>
      <c r="D8" s="7"/>
      <c r="E8" s="7"/>
      <c r="F8" s="7"/>
      <c r="G8" s="7"/>
      <c r="H8" s="7"/>
    </row>
    <row r="9" customFormat="false" ht="24" hidden="false" customHeight="true" outlineLevel="0" collapsed="false">
      <c r="A9" s="6" t="s">
        <v>9</v>
      </c>
      <c r="B9" s="7" t="s">
        <v>10</v>
      </c>
      <c r="C9" s="7"/>
      <c r="D9" s="7"/>
      <c r="E9" s="7"/>
      <c r="F9" s="7"/>
      <c r="G9" s="7"/>
      <c r="H9" s="7"/>
    </row>
    <row r="10" customFormat="false" ht="24" hidden="false" customHeight="true" outlineLevel="0" collapsed="false">
      <c r="A10" s="6" t="s">
        <v>11</v>
      </c>
      <c r="B10" s="7" t="s">
        <v>12</v>
      </c>
      <c r="C10" s="7"/>
      <c r="D10" s="7"/>
      <c r="E10" s="7"/>
      <c r="F10" s="7"/>
      <c r="G10" s="7"/>
      <c r="H10" s="7"/>
    </row>
    <row r="11" customFormat="false" ht="24" hidden="false" customHeight="true" outlineLevel="0" collapsed="false">
      <c r="A11" s="6" t="s">
        <v>13</v>
      </c>
      <c r="B11" s="7" t="s">
        <v>14</v>
      </c>
      <c r="C11" s="7"/>
      <c r="D11" s="7"/>
      <c r="E11" s="7"/>
      <c r="F11" s="7"/>
      <c r="G11" s="7"/>
      <c r="H11" s="7"/>
    </row>
    <row r="12" customFormat="false" ht="24" hidden="false" customHeight="true" outlineLevel="0" collapsed="false">
      <c r="A12" s="6" t="s">
        <v>15</v>
      </c>
      <c r="B12" s="7" t="s">
        <v>16</v>
      </c>
      <c r="C12" s="7"/>
      <c r="D12" s="7"/>
      <c r="E12" s="7"/>
      <c r="F12" s="7"/>
      <c r="G12" s="7"/>
      <c r="H12" s="7"/>
    </row>
    <row r="13" customFormat="false" ht="24" hidden="false" customHeight="true" outlineLevel="0" collapsed="false">
      <c r="A13" s="6" t="s">
        <v>17</v>
      </c>
      <c r="B13" s="7" t="s">
        <v>18</v>
      </c>
      <c r="C13" s="7"/>
      <c r="D13" s="7"/>
      <c r="E13" s="7"/>
      <c r="F13" s="7"/>
      <c r="G13" s="7"/>
      <c r="H13" s="7"/>
    </row>
    <row r="14" customFormat="false" ht="24" hidden="false" customHeight="true" outlineLevel="0" collapsed="false">
      <c r="A14" s="6" t="s">
        <v>19</v>
      </c>
      <c r="B14" s="7" t="s">
        <v>20</v>
      </c>
      <c r="C14" s="7"/>
      <c r="D14" s="7"/>
      <c r="E14" s="7"/>
      <c r="F14" s="7"/>
      <c r="G14" s="7"/>
      <c r="H14" s="7"/>
    </row>
    <row r="15" customFormat="false" ht="24" hidden="false" customHeight="true" outlineLevel="0" collapsed="false">
      <c r="A15" s="6" t="s">
        <v>21</v>
      </c>
      <c r="B15" s="7" t="s">
        <v>22</v>
      </c>
      <c r="C15" s="7"/>
      <c r="D15" s="7"/>
      <c r="E15" s="7"/>
      <c r="F15" s="7"/>
      <c r="G15" s="7"/>
      <c r="H15" s="7"/>
    </row>
    <row r="16" customFormat="false" ht="24" hidden="false" customHeight="true" outlineLevel="0" collapsed="false">
      <c r="A16" s="6" t="s">
        <v>23</v>
      </c>
      <c r="B16" s="7" t="s">
        <v>24</v>
      </c>
      <c r="C16" s="7"/>
      <c r="D16" s="7"/>
      <c r="E16" s="7"/>
      <c r="F16" s="7"/>
      <c r="G16" s="7"/>
      <c r="H16" s="7"/>
    </row>
    <row r="17" customFormat="false" ht="24" hidden="false" customHeight="true" outlineLevel="0" collapsed="false">
      <c r="A17" s="6" t="s">
        <v>25</v>
      </c>
      <c r="B17" s="7" t="s">
        <v>26</v>
      </c>
      <c r="C17" s="7"/>
      <c r="D17" s="7"/>
      <c r="E17" s="7"/>
      <c r="F17" s="7"/>
      <c r="G17" s="7"/>
      <c r="H17" s="7"/>
    </row>
    <row r="18" customFormat="false" ht="24" hidden="false" customHeight="true" outlineLevel="0" collapsed="false">
      <c r="A18" s="6" t="s">
        <v>27</v>
      </c>
      <c r="B18" s="7" t="s">
        <v>28</v>
      </c>
      <c r="C18" s="7"/>
      <c r="D18" s="7"/>
      <c r="E18" s="7"/>
      <c r="F18" s="7"/>
      <c r="G18" s="7"/>
      <c r="H18" s="7"/>
    </row>
    <row r="19" customFormat="false" ht="24" hidden="false" customHeight="true" outlineLevel="0" collapsed="false">
      <c r="A19" s="6" t="s">
        <v>29</v>
      </c>
      <c r="B19" s="7" t="s">
        <v>30</v>
      </c>
      <c r="C19" s="7"/>
      <c r="D19" s="7"/>
      <c r="E19" s="7"/>
      <c r="F19" s="7"/>
      <c r="G19" s="7"/>
      <c r="H19" s="7"/>
    </row>
    <row r="21" customFormat="false" ht="15" hidden="false" customHeight="false" outlineLevel="0" collapsed="false">
      <c r="A21" s="4" t="s">
        <v>31</v>
      </c>
    </row>
    <row r="22" customFormat="false" ht="15" hidden="false" customHeight="false" outlineLevel="0" collapsed="false">
      <c r="A22" s="3" t="s">
        <v>32</v>
      </c>
    </row>
    <row r="23" customFormat="false" ht="27.75" hidden="false" customHeight="true" outlineLevel="0" collapsed="false">
      <c r="A23" s="5" t="s">
        <v>33</v>
      </c>
      <c r="B23" s="5" t="s">
        <v>5</v>
      </c>
      <c r="C23" s="5" t="s">
        <v>34</v>
      </c>
      <c r="D23" s="5" t="s">
        <v>35</v>
      </c>
      <c r="E23" s="5" t="s">
        <v>36</v>
      </c>
      <c r="F23" s="5" t="s">
        <v>37</v>
      </c>
      <c r="G23" s="5" t="s">
        <v>38</v>
      </c>
      <c r="H23" s="5"/>
      <c r="I23" s="5"/>
      <c r="J23" s="5"/>
      <c r="K23" s="5"/>
    </row>
    <row r="24" customFormat="false" ht="36" hidden="false" customHeight="true" outlineLevel="0" collapsed="false">
      <c r="A24" s="8" t="s">
        <v>39</v>
      </c>
      <c r="B24" s="8" t="s">
        <v>40</v>
      </c>
      <c r="C24" s="9" t="s">
        <v>41</v>
      </c>
      <c r="D24" s="8" t="s">
        <v>42</v>
      </c>
      <c r="E24" s="8" t="s">
        <v>43</v>
      </c>
      <c r="F24" s="8" t="s">
        <v>44</v>
      </c>
      <c r="G24" s="8" t="s">
        <v>45</v>
      </c>
      <c r="H24" s="8"/>
      <c r="I24" s="8"/>
      <c r="J24" s="8"/>
      <c r="K24" s="8"/>
    </row>
    <row r="25" customFormat="false" ht="36" hidden="false" customHeight="true" outlineLevel="0" collapsed="false">
      <c r="A25" s="8" t="s">
        <v>39</v>
      </c>
      <c r="B25" s="8" t="s">
        <v>46</v>
      </c>
      <c r="C25" s="9" t="s">
        <v>47</v>
      </c>
      <c r="D25" s="8" t="s">
        <v>48</v>
      </c>
      <c r="E25" s="8" t="s">
        <v>49</v>
      </c>
      <c r="F25" s="8" t="s">
        <v>44</v>
      </c>
      <c r="G25" s="8" t="s">
        <v>50</v>
      </c>
      <c r="H25" s="8"/>
      <c r="I25" s="8"/>
      <c r="J25" s="8"/>
      <c r="K25" s="8"/>
    </row>
    <row r="26" customFormat="false" ht="36" hidden="false" customHeight="true" outlineLevel="0" collapsed="false">
      <c r="A26" s="8" t="s">
        <v>39</v>
      </c>
      <c r="B26" s="8" t="s">
        <v>51</v>
      </c>
      <c r="C26" s="9" t="s">
        <v>52</v>
      </c>
      <c r="D26" s="8" t="s">
        <v>48</v>
      </c>
      <c r="E26" s="8" t="s">
        <v>53</v>
      </c>
      <c r="F26" s="8" t="s">
        <v>44</v>
      </c>
      <c r="G26" s="8" t="s">
        <v>54</v>
      </c>
      <c r="H26" s="8"/>
      <c r="I26" s="8"/>
      <c r="J26" s="8"/>
      <c r="K26" s="8"/>
    </row>
    <row r="27" customFormat="false" ht="36" hidden="false" customHeight="true" outlineLevel="0" collapsed="false">
      <c r="A27" s="8" t="s">
        <v>39</v>
      </c>
      <c r="B27" s="8" t="s">
        <v>55</v>
      </c>
      <c r="C27" s="9" t="s">
        <v>56</v>
      </c>
      <c r="D27" s="8" t="s">
        <v>48</v>
      </c>
      <c r="E27" s="8" t="s">
        <v>57</v>
      </c>
      <c r="F27" s="8" t="s">
        <v>44</v>
      </c>
      <c r="G27" s="8" t="s">
        <v>58</v>
      </c>
      <c r="H27" s="8"/>
      <c r="I27" s="8"/>
      <c r="J27" s="8"/>
      <c r="K27" s="8"/>
    </row>
    <row r="28" customFormat="false" ht="36" hidden="false" customHeight="true" outlineLevel="0" collapsed="false">
      <c r="A28" s="8" t="s">
        <v>39</v>
      </c>
      <c r="B28" s="8" t="s">
        <v>59</v>
      </c>
      <c r="C28" s="9" t="s">
        <v>60</v>
      </c>
      <c r="D28" s="8" t="s">
        <v>48</v>
      </c>
      <c r="E28" s="8" t="s">
        <v>61</v>
      </c>
      <c r="F28" s="8" t="s">
        <v>44</v>
      </c>
      <c r="G28" s="8" t="s">
        <v>62</v>
      </c>
      <c r="H28" s="8"/>
      <c r="I28" s="8"/>
      <c r="J28" s="8"/>
      <c r="K28" s="8"/>
    </row>
    <row r="29" customFormat="false" ht="36" hidden="false" customHeight="true" outlineLevel="0" collapsed="false">
      <c r="A29" s="8" t="s">
        <v>39</v>
      </c>
      <c r="B29" s="8" t="s">
        <v>63</v>
      </c>
      <c r="C29" s="9" t="s">
        <v>64</v>
      </c>
      <c r="D29" s="8" t="s">
        <v>65</v>
      </c>
      <c r="E29" s="8" t="s">
        <v>66</v>
      </c>
      <c r="F29" s="8" t="s">
        <v>44</v>
      </c>
      <c r="G29" s="8" t="s">
        <v>67</v>
      </c>
      <c r="H29" s="8"/>
      <c r="I29" s="8"/>
      <c r="J29" s="8"/>
      <c r="K29" s="8"/>
    </row>
    <row r="30" customFormat="false" ht="36" hidden="false" customHeight="true" outlineLevel="0" collapsed="false">
      <c r="A30" s="8" t="s">
        <v>68</v>
      </c>
      <c r="B30" s="8" t="s">
        <v>69</v>
      </c>
      <c r="C30" s="9" t="s">
        <v>70</v>
      </c>
      <c r="D30" s="8" t="s">
        <v>48</v>
      </c>
      <c r="E30" s="8" t="s">
        <v>71</v>
      </c>
      <c r="F30" s="8" t="s">
        <v>44</v>
      </c>
      <c r="G30" s="8" t="s">
        <v>72</v>
      </c>
      <c r="H30" s="8"/>
      <c r="I30" s="8"/>
      <c r="J30" s="8"/>
      <c r="K30" s="8"/>
    </row>
    <row r="31" customFormat="false" ht="36" hidden="false" customHeight="true" outlineLevel="0" collapsed="false">
      <c r="A31" s="8" t="s">
        <v>68</v>
      </c>
      <c r="B31" s="8" t="s">
        <v>73</v>
      </c>
      <c r="C31" s="9" t="s">
        <v>74</v>
      </c>
      <c r="D31" s="8" t="s">
        <v>48</v>
      </c>
      <c r="E31" s="8" t="s">
        <v>75</v>
      </c>
      <c r="F31" s="8" t="s">
        <v>44</v>
      </c>
      <c r="G31" s="8" t="s">
        <v>76</v>
      </c>
      <c r="H31" s="8"/>
      <c r="I31" s="8"/>
      <c r="J31" s="8"/>
      <c r="K31" s="8"/>
    </row>
    <row r="32" customFormat="false" ht="36" hidden="false" customHeight="true" outlineLevel="0" collapsed="false">
      <c r="A32" s="8" t="s">
        <v>68</v>
      </c>
      <c r="B32" s="8" t="s">
        <v>77</v>
      </c>
      <c r="C32" s="9" t="s">
        <v>78</v>
      </c>
      <c r="D32" s="8" t="s">
        <v>48</v>
      </c>
      <c r="E32" s="8" t="s">
        <v>79</v>
      </c>
      <c r="F32" s="8" t="s">
        <v>80</v>
      </c>
      <c r="G32" s="8" t="s">
        <v>81</v>
      </c>
      <c r="H32" s="8"/>
      <c r="I32" s="8"/>
      <c r="J32" s="8"/>
      <c r="K32" s="8"/>
    </row>
    <row r="33" customFormat="false" ht="36" hidden="false" customHeight="true" outlineLevel="0" collapsed="false">
      <c r="A33" s="8" t="s">
        <v>68</v>
      </c>
      <c r="B33" s="8" t="s">
        <v>63</v>
      </c>
      <c r="C33" s="9" t="s">
        <v>82</v>
      </c>
      <c r="D33" s="8" t="s">
        <v>83</v>
      </c>
      <c r="E33" s="8" t="s">
        <v>84</v>
      </c>
      <c r="F33" s="8" t="s">
        <v>44</v>
      </c>
      <c r="G33" s="8" t="s">
        <v>85</v>
      </c>
      <c r="H33" s="8"/>
      <c r="I33" s="8"/>
      <c r="J33" s="8"/>
      <c r="K33" s="8"/>
    </row>
    <row r="34" customFormat="false" ht="36" hidden="false" customHeight="true" outlineLevel="0" collapsed="false">
      <c r="A34" s="8" t="s">
        <v>68</v>
      </c>
      <c r="B34" s="8" t="s">
        <v>86</v>
      </c>
      <c r="C34" s="9" t="s">
        <v>87</v>
      </c>
      <c r="D34" s="8" t="s">
        <v>48</v>
      </c>
      <c r="E34" s="8" t="s">
        <v>61</v>
      </c>
      <c r="F34" s="8" t="s">
        <v>44</v>
      </c>
      <c r="G34" s="8" t="s">
        <v>88</v>
      </c>
      <c r="H34" s="8"/>
      <c r="I34" s="8"/>
      <c r="J34" s="8"/>
      <c r="K34" s="8"/>
    </row>
    <row r="35" customFormat="false" ht="36" hidden="false" customHeight="true" outlineLevel="0" collapsed="false">
      <c r="A35" s="8" t="s">
        <v>89</v>
      </c>
      <c r="B35" s="8" t="s">
        <v>90</v>
      </c>
      <c r="C35" s="9" t="s">
        <v>91</v>
      </c>
      <c r="D35" s="8" t="s">
        <v>92</v>
      </c>
      <c r="E35" s="8" t="s">
        <v>93</v>
      </c>
      <c r="F35" s="8" t="s">
        <v>80</v>
      </c>
      <c r="G35" s="8" t="s">
        <v>94</v>
      </c>
      <c r="H35" s="8"/>
      <c r="I35" s="8"/>
      <c r="J35" s="8"/>
      <c r="K35" s="8"/>
    </row>
    <row r="36" customFormat="false" ht="36" hidden="false" customHeight="true" outlineLevel="0" collapsed="false">
      <c r="A36" s="8" t="s">
        <v>89</v>
      </c>
      <c r="B36" s="8" t="s">
        <v>95</v>
      </c>
      <c r="C36" s="9" t="s">
        <v>96</v>
      </c>
      <c r="D36" s="8" t="s">
        <v>97</v>
      </c>
      <c r="E36" s="8" t="s">
        <v>98</v>
      </c>
      <c r="F36" s="8" t="s">
        <v>99</v>
      </c>
      <c r="G36" s="8" t="s">
        <v>100</v>
      </c>
      <c r="H36" s="8"/>
      <c r="I36" s="8"/>
      <c r="J36" s="8"/>
      <c r="K36" s="8"/>
    </row>
    <row r="37" customFormat="false" ht="36" hidden="false" customHeight="true" outlineLevel="0" collapsed="false">
      <c r="A37" s="8" t="s">
        <v>89</v>
      </c>
      <c r="B37" s="8" t="s">
        <v>101</v>
      </c>
      <c r="C37" s="9" t="s">
        <v>102</v>
      </c>
      <c r="D37" s="8" t="s">
        <v>97</v>
      </c>
      <c r="E37" s="8" t="s">
        <v>103</v>
      </c>
      <c r="F37" s="8" t="s">
        <v>99</v>
      </c>
      <c r="G37" s="8" t="s">
        <v>104</v>
      </c>
      <c r="H37" s="8"/>
      <c r="I37" s="8"/>
      <c r="J37" s="8"/>
      <c r="K37" s="8"/>
    </row>
    <row r="38" customFormat="false" ht="36" hidden="false" customHeight="true" outlineLevel="0" collapsed="false">
      <c r="A38" s="8" t="s">
        <v>105</v>
      </c>
      <c r="B38" s="8" t="s">
        <v>106</v>
      </c>
      <c r="C38" s="9" t="s">
        <v>107</v>
      </c>
      <c r="D38" s="8" t="s">
        <v>108</v>
      </c>
      <c r="E38" s="8" t="s">
        <v>109</v>
      </c>
      <c r="F38" s="8" t="s">
        <v>99</v>
      </c>
      <c r="G38" s="8" t="s">
        <v>110</v>
      </c>
      <c r="H38" s="8"/>
      <c r="I38" s="8"/>
      <c r="J38" s="8"/>
      <c r="K38" s="8"/>
    </row>
    <row r="39" customFormat="false" ht="36" hidden="false" customHeight="true" outlineLevel="0" collapsed="false">
      <c r="A39" s="8" t="s">
        <v>105</v>
      </c>
      <c r="B39" s="8" t="s">
        <v>111</v>
      </c>
      <c r="C39" s="9" t="s">
        <v>112</v>
      </c>
      <c r="D39" s="8" t="s">
        <v>113</v>
      </c>
      <c r="E39" s="8" t="s">
        <v>114</v>
      </c>
      <c r="F39" s="8" t="s">
        <v>99</v>
      </c>
      <c r="G39" s="8" t="s">
        <v>115</v>
      </c>
      <c r="H39" s="8"/>
      <c r="I39" s="8"/>
      <c r="J39" s="8"/>
      <c r="K39" s="8"/>
    </row>
    <row r="40" customFormat="false" ht="36" hidden="false" customHeight="true" outlineLevel="0" collapsed="false">
      <c r="A40" s="8" t="s">
        <v>105</v>
      </c>
      <c r="B40" s="8" t="s">
        <v>116</v>
      </c>
      <c r="C40" s="9" t="s">
        <v>117</v>
      </c>
      <c r="D40" s="8" t="s">
        <v>118</v>
      </c>
      <c r="E40" s="8" t="s">
        <v>119</v>
      </c>
      <c r="F40" s="8" t="s">
        <v>120</v>
      </c>
      <c r="G40" s="8" t="s">
        <v>121</v>
      </c>
      <c r="H40" s="8"/>
      <c r="I40" s="8"/>
      <c r="J40" s="8"/>
      <c r="K40" s="8"/>
    </row>
    <row r="41" customFormat="false" ht="36" hidden="false" customHeight="true" outlineLevel="0" collapsed="false">
      <c r="A41" s="8" t="s">
        <v>105</v>
      </c>
      <c r="B41" s="8" t="s">
        <v>122</v>
      </c>
      <c r="C41" s="9" t="s">
        <v>123</v>
      </c>
      <c r="D41" s="8" t="s">
        <v>124</v>
      </c>
      <c r="E41" s="8" t="s">
        <v>125</v>
      </c>
      <c r="F41" s="8" t="s">
        <v>120</v>
      </c>
      <c r="G41" s="8" t="s">
        <v>126</v>
      </c>
      <c r="H41" s="8"/>
      <c r="I41" s="8"/>
      <c r="J41" s="8"/>
      <c r="K41" s="8"/>
    </row>
    <row r="43" customFormat="false" ht="15" hidden="false" customHeight="false" outlineLevel="0" collapsed="false">
      <c r="A43" s="4" t="s">
        <v>127</v>
      </c>
    </row>
    <row r="44" customFormat="false" ht="19.5" hidden="false" customHeight="true" outlineLevel="0" collapsed="false">
      <c r="A44" s="5" t="s">
        <v>128</v>
      </c>
      <c r="B44" s="5" t="s">
        <v>129</v>
      </c>
      <c r="C44" s="5" t="s">
        <v>130</v>
      </c>
      <c r="D44" s="5" t="s">
        <v>131</v>
      </c>
      <c r="E44" s="5" t="s">
        <v>132</v>
      </c>
      <c r="F44" s="5" t="s">
        <v>133</v>
      </c>
      <c r="G44" s="10" t="s">
        <v>134</v>
      </c>
      <c r="H44" s="10"/>
      <c r="I44" s="10"/>
    </row>
    <row r="45" customFormat="false" ht="36" hidden="false" customHeight="true" outlineLevel="0" collapsed="false">
      <c r="A45" s="8" t="n">
        <v>1</v>
      </c>
      <c r="B45" s="8" t="s">
        <v>135</v>
      </c>
      <c r="C45" s="8" t="s">
        <v>136</v>
      </c>
      <c r="D45" s="8" t="s">
        <v>137</v>
      </c>
      <c r="E45" s="8" t="s">
        <v>138</v>
      </c>
      <c r="F45" s="8" t="s">
        <v>139</v>
      </c>
      <c r="G45" s="8" t="s">
        <v>140</v>
      </c>
      <c r="H45" s="8"/>
      <c r="I45" s="8"/>
    </row>
    <row r="46" customFormat="false" ht="36" hidden="false" customHeight="true" outlineLevel="0" collapsed="false">
      <c r="A46" s="8" t="n">
        <v>2</v>
      </c>
      <c r="B46" s="8" t="s">
        <v>141</v>
      </c>
      <c r="C46" s="8" t="s">
        <v>142</v>
      </c>
      <c r="D46" s="8" t="s">
        <v>143</v>
      </c>
      <c r="E46" s="8" t="s">
        <v>144</v>
      </c>
      <c r="F46" s="8" t="s">
        <v>145</v>
      </c>
      <c r="G46" s="8" t="s">
        <v>146</v>
      </c>
      <c r="H46" s="8"/>
      <c r="I46" s="8"/>
    </row>
    <row r="47" customFormat="false" ht="36" hidden="false" customHeight="true" outlineLevel="0" collapsed="false">
      <c r="A47" s="8" t="n">
        <v>3</v>
      </c>
      <c r="B47" s="8" t="s">
        <v>147</v>
      </c>
      <c r="C47" s="8" t="s">
        <v>148</v>
      </c>
      <c r="D47" s="8" t="s">
        <v>149</v>
      </c>
      <c r="E47" s="8" t="s">
        <v>150</v>
      </c>
      <c r="F47" s="8" t="s">
        <v>151</v>
      </c>
      <c r="G47" s="8" t="s">
        <v>152</v>
      </c>
      <c r="H47" s="8"/>
      <c r="I47" s="8"/>
    </row>
    <row r="48" customFormat="false" ht="36" hidden="false" customHeight="true" outlineLevel="0" collapsed="false">
      <c r="A48" s="8" t="n">
        <v>4</v>
      </c>
      <c r="B48" s="8" t="s">
        <v>153</v>
      </c>
      <c r="C48" s="8" t="s">
        <v>154</v>
      </c>
      <c r="D48" s="8" t="s">
        <v>155</v>
      </c>
      <c r="E48" s="8" t="s">
        <v>156</v>
      </c>
      <c r="F48" s="8" t="s">
        <v>157</v>
      </c>
      <c r="G48" s="8" t="s">
        <v>158</v>
      </c>
      <c r="H48" s="8"/>
      <c r="I48" s="8"/>
    </row>
    <row r="49" customFormat="false" ht="36" hidden="false" customHeight="true" outlineLevel="0" collapsed="false">
      <c r="A49" s="8" t="n">
        <v>5</v>
      </c>
      <c r="B49" s="8" t="s">
        <v>159</v>
      </c>
      <c r="C49" s="8" t="s">
        <v>160</v>
      </c>
      <c r="D49" s="8" t="s">
        <v>161</v>
      </c>
      <c r="E49" s="8" t="s">
        <v>162</v>
      </c>
      <c r="F49" s="8" t="s">
        <v>163</v>
      </c>
      <c r="G49" s="8" t="s">
        <v>164</v>
      </c>
      <c r="H49" s="8"/>
      <c r="I49" s="8"/>
    </row>
    <row r="50" customFormat="false" ht="36" hidden="false" customHeight="true" outlineLevel="0" collapsed="false">
      <c r="A50" s="8" t="n">
        <v>6</v>
      </c>
      <c r="B50" s="8" t="s">
        <v>165</v>
      </c>
      <c r="C50" s="8" t="s">
        <v>166</v>
      </c>
      <c r="D50" s="8" t="s">
        <v>167</v>
      </c>
      <c r="E50" s="8" t="s">
        <v>168</v>
      </c>
      <c r="F50" s="8" t="s">
        <v>169</v>
      </c>
      <c r="G50" s="8" t="s">
        <v>170</v>
      </c>
      <c r="H50" s="8"/>
      <c r="I50" s="8"/>
    </row>
    <row r="51" customFormat="false" ht="36" hidden="false" customHeight="true" outlineLevel="0" collapsed="false">
      <c r="A51" s="8" t="n">
        <v>7</v>
      </c>
      <c r="B51" s="8" t="s">
        <v>171</v>
      </c>
      <c r="C51" s="8" t="s">
        <v>172</v>
      </c>
      <c r="D51" s="8" t="s">
        <v>173</v>
      </c>
      <c r="E51" s="8" t="s">
        <v>174</v>
      </c>
      <c r="F51" s="8" t="s">
        <v>145</v>
      </c>
      <c r="G51" s="8" t="s">
        <v>175</v>
      </c>
      <c r="H51" s="8"/>
      <c r="I51" s="8"/>
    </row>
    <row r="52" customFormat="false" ht="36" hidden="false" customHeight="true" outlineLevel="0" collapsed="false">
      <c r="A52" s="8" t="n">
        <v>8</v>
      </c>
      <c r="B52" s="8" t="s">
        <v>176</v>
      </c>
      <c r="C52" s="8" t="s">
        <v>177</v>
      </c>
      <c r="D52" s="8" t="s">
        <v>173</v>
      </c>
      <c r="E52" s="8" t="s">
        <v>178</v>
      </c>
      <c r="F52" s="8" t="s">
        <v>145</v>
      </c>
      <c r="G52" s="8" t="s">
        <v>179</v>
      </c>
      <c r="H52" s="8"/>
      <c r="I52" s="8"/>
    </row>
    <row r="53" customFormat="false" ht="36" hidden="false" customHeight="true" outlineLevel="0" collapsed="false">
      <c r="A53" s="8" t="n">
        <v>9</v>
      </c>
      <c r="B53" s="8" t="s">
        <v>180</v>
      </c>
      <c r="C53" s="8" t="s">
        <v>181</v>
      </c>
      <c r="D53" s="8" t="s">
        <v>173</v>
      </c>
      <c r="E53" s="8" t="s">
        <v>182</v>
      </c>
      <c r="F53" s="8" t="s">
        <v>145</v>
      </c>
      <c r="G53" s="8" t="s">
        <v>183</v>
      </c>
      <c r="H53" s="8"/>
      <c r="I53" s="8"/>
    </row>
    <row r="54" customFormat="false" ht="36" hidden="false" customHeight="true" outlineLevel="0" collapsed="false">
      <c r="A54" s="8" t="n">
        <v>10</v>
      </c>
      <c r="B54" s="8" t="s">
        <v>184</v>
      </c>
      <c r="C54" s="8" t="s">
        <v>185</v>
      </c>
      <c r="D54" s="8" t="s">
        <v>173</v>
      </c>
      <c r="E54" s="8" t="s">
        <v>186</v>
      </c>
      <c r="F54" s="8" t="s">
        <v>145</v>
      </c>
      <c r="G54" s="8" t="s">
        <v>187</v>
      </c>
      <c r="H54" s="8"/>
      <c r="I54" s="8"/>
    </row>
    <row r="55" customFormat="false" ht="36" hidden="false" customHeight="true" outlineLevel="0" collapsed="false">
      <c r="A55" s="8" t="n">
        <v>11</v>
      </c>
      <c r="B55" s="8" t="s">
        <v>188</v>
      </c>
      <c r="C55" s="8" t="s">
        <v>189</v>
      </c>
      <c r="D55" s="8" t="s">
        <v>137</v>
      </c>
      <c r="E55" s="8" t="s">
        <v>190</v>
      </c>
      <c r="F55" s="8" t="s">
        <v>139</v>
      </c>
      <c r="G55" s="8" t="s">
        <v>191</v>
      </c>
      <c r="H55" s="8"/>
      <c r="I55" s="8"/>
    </row>
    <row r="56" customFormat="false" ht="36" hidden="false" customHeight="true" outlineLevel="0" collapsed="false">
      <c r="A56" s="8" t="n">
        <v>12</v>
      </c>
      <c r="B56" s="8" t="s">
        <v>192</v>
      </c>
      <c r="C56" s="8" t="s">
        <v>193</v>
      </c>
      <c r="D56" s="8" t="s">
        <v>137</v>
      </c>
      <c r="E56" s="8" t="s">
        <v>194</v>
      </c>
      <c r="F56" s="8" t="s">
        <v>139</v>
      </c>
      <c r="G56" s="8" t="s">
        <v>195</v>
      </c>
      <c r="H56" s="8"/>
      <c r="I56" s="8"/>
    </row>
    <row r="57" customFormat="false" ht="36" hidden="false" customHeight="true" outlineLevel="0" collapsed="false">
      <c r="A57" s="8" t="n">
        <v>13</v>
      </c>
      <c r="B57" s="8" t="s">
        <v>196</v>
      </c>
      <c r="C57" s="8" t="s">
        <v>197</v>
      </c>
      <c r="D57" s="8" t="s">
        <v>198</v>
      </c>
      <c r="E57" s="8" t="s">
        <v>199</v>
      </c>
      <c r="F57" s="8" t="s">
        <v>200</v>
      </c>
      <c r="G57" s="8" t="s">
        <v>201</v>
      </c>
      <c r="H57" s="8"/>
      <c r="I57" s="8"/>
    </row>
    <row r="58" customFormat="false" ht="36" hidden="false" customHeight="true" outlineLevel="0" collapsed="false">
      <c r="A58" s="8" t="n">
        <v>14</v>
      </c>
      <c r="B58" s="8" t="s">
        <v>202</v>
      </c>
      <c r="C58" s="8" t="s">
        <v>203</v>
      </c>
      <c r="D58" s="8" t="s">
        <v>204</v>
      </c>
      <c r="E58" s="8" t="s">
        <v>204</v>
      </c>
      <c r="F58" s="8" t="s">
        <v>205</v>
      </c>
      <c r="G58" s="8" t="s">
        <v>206</v>
      </c>
      <c r="H58" s="8"/>
      <c r="I58" s="8"/>
    </row>
    <row r="60" customFormat="false" ht="15" hidden="false" customHeight="false" outlineLevel="0" collapsed="false">
      <c r="A60" s="4" t="s">
        <v>207</v>
      </c>
    </row>
    <row r="61" customFormat="false" ht="15" hidden="false" customHeight="true" outlineLevel="0" collapsed="false">
      <c r="A61" s="5" t="s">
        <v>208</v>
      </c>
      <c r="B61" s="5" t="s">
        <v>209</v>
      </c>
      <c r="C61" s="5" t="s">
        <v>34</v>
      </c>
      <c r="D61" s="5" t="s">
        <v>210</v>
      </c>
      <c r="E61" s="5" t="s">
        <v>211</v>
      </c>
      <c r="F61" s="5"/>
      <c r="G61" s="5"/>
      <c r="H61" s="5"/>
      <c r="I61" s="5"/>
      <c r="J61" s="5"/>
    </row>
    <row r="62" customFormat="false" ht="22.35" hidden="false" customHeight="false" outlineLevel="0" collapsed="false">
      <c r="A62" s="3" t="s">
        <v>212</v>
      </c>
      <c r="B62" s="8" t="s">
        <v>213</v>
      </c>
      <c r="C62" s="11" t="n">
        <v>46204</v>
      </c>
      <c r="D62" s="12" t="s">
        <v>214</v>
      </c>
      <c r="E62" s="13" t="s">
        <v>215</v>
      </c>
      <c r="F62" s="13"/>
      <c r="G62" s="13"/>
      <c r="H62" s="13"/>
      <c r="I62" s="13"/>
      <c r="J62" s="13"/>
    </row>
    <row r="63" customFormat="false" ht="22.35" hidden="false" customHeight="false" outlineLevel="0" collapsed="false">
      <c r="A63" s="3" t="s">
        <v>216</v>
      </c>
      <c r="B63" s="8" t="s">
        <v>217</v>
      </c>
      <c r="C63" s="14" t="n">
        <v>92</v>
      </c>
      <c r="D63" s="12" t="s">
        <v>218</v>
      </c>
      <c r="E63" s="13" t="s">
        <v>219</v>
      </c>
      <c r="F63" s="13"/>
      <c r="G63" s="13"/>
      <c r="H63" s="13"/>
      <c r="I63" s="13"/>
      <c r="J63" s="13"/>
    </row>
    <row r="64" customFormat="false" ht="22.35" hidden="false" customHeight="false" outlineLevel="0" collapsed="false">
      <c r="A64" s="3" t="s">
        <v>220</v>
      </c>
      <c r="B64" s="8" t="s">
        <v>221</v>
      </c>
      <c r="C64" s="14" t="n">
        <v>12</v>
      </c>
      <c r="D64" s="12" t="s">
        <v>222</v>
      </c>
      <c r="E64" s="13" t="s">
        <v>223</v>
      </c>
      <c r="F64" s="13"/>
      <c r="G64" s="13"/>
      <c r="H64" s="13"/>
      <c r="I64" s="13"/>
      <c r="J64" s="13"/>
    </row>
    <row r="65" customFormat="false" ht="22.35" hidden="false" customHeight="false" outlineLevel="0" collapsed="false">
      <c r="A65" s="3" t="s">
        <v>224</v>
      </c>
      <c r="B65" s="8" t="s">
        <v>225</v>
      </c>
      <c r="C65" s="15" t="n">
        <v>0.02</v>
      </c>
      <c r="D65" s="12" t="s">
        <v>226</v>
      </c>
      <c r="E65" s="13" t="s">
        <v>227</v>
      </c>
      <c r="F65" s="13"/>
      <c r="G65" s="13"/>
      <c r="H65" s="13"/>
      <c r="I65" s="13"/>
      <c r="J65" s="13"/>
    </row>
    <row r="66" customFormat="false" ht="22.35" hidden="false" customHeight="false" outlineLevel="0" collapsed="false">
      <c r="A66" s="3" t="s">
        <v>228</v>
      </c>
      <c r="B66" s="8" t="s">
        <v>229</v>
      </c>
      <c r="C66" s="15" t="n">
        <v>0.15</v>
      </c>
      <c r="D66" s="12" t="s">
        <v>226</v>
      </c>
      <c r="E66" s="13" t="s">
        <v>230</v>
      </c>
      <c r="F66" s="13"/>
      <c r="G66" s="13"/>
      <c r="H66" s="13"/>
      <c r="I66" s="13"/>
      <c r="J66" s="13"/>
    </row>
    <row r="67" customFormat="false" ht="32.8" hidden="false" customHeight="false" outlineLevel="0" collapsed="false">
      <c r="A67" s="3" t="s">
        <v>231</v>
      </c>
      <c r="B67" s="8" t="s">
        <v>232</v>
      </c>
      <c r="C67" s="15" t="n">
        <v>0.6</v>
      </c>
      <c r="D67" s="12" t="s">
        <v>226</v>
      </c>
      <c r="E67" s="13" t="s">
        <v>233</v>
      </c>
      <c r="F67" s="13"/>
      <c r="G67" s="13"/>
      <c r="H67" s="13"/>
      <c r="I67" s="13"/>
      <c r="J67" s="13"/>
    </row>
    <row r="68" customFormat="false" ht="32.8" hidden="false" customHeight="false" outlineLevel="0" collapsed="false">
      <c r="A68" s="3" t="s">
        <v>234</v>
      </c>
      <c r="B68" s="8" t="s">
        <v>235</v>
      </c>
      <c r="C68" s="15" t="n">
        <v>0.01</v>
      </c>
      <c r="D68" s="12" t="s">
        <v>236</v>
      </c>
      <c r="E68" s="13" t="s">
        <v>237</v>
      </c>
      <c r="F68" s="13"/>
      <c r="G68" s="13"/>
      <c r="H68" s="13"/>
      <c r="I68" s="13"/>
      <c r="J68" s="13"/>
    </row>
    <row r="69" customFormat="false" ht="32.8" hidden="false" customHeight="false" outlineLevel="0" collapsed="false">
      <c r="A69" s="3" t="s">
        <v>238</v>
      </c>
      <c r="B69" s="8" t="s">
        <v>239</v>
      </c>
      <c r="C69" s="15" t="n">
        <v>0.5</v>
      </c>
      <c r="D69" s="12" t="s">
        <v>226</v>
      </c>
      <c r="E69" s="13" t="s">
        <v>240</v>
      </c>
      <c r="F69" s="13"/>
      <c r="G69" s="13"/>
      <c r="H69" s="13"/>
      <c r="I69" s="13"/>
      <c r="J69" s="13"/>
    </row>
    <row r="70" customFormat="false" ht="43.25" hidden="false" customHeight="false" outlineLevel="0" collapsed="false">
      <c r="A70" s="3" t="s">
        <v>241</v>
      </c>
      <c r="B70" s="8" t="s">
        <v>242</v>
      </c>
      <c r="C70" s="15" t="n">
        <v>0.8</v>
      </c>
      <c r="D70" s="12" t="s">
        <v>226</v>
      </c>
      <c r="E70" s="13" t="s">
        <v>243</v>
      </c>
      <c r="F70" s="13"/>
      <c r="G70" s="13"/>
      <c r="H70" s="13"/>
      <c r="I70" s="13"/>
      <c r="J70" s="13"/>
    </row>
    <row r="71" customFormat="false" ht="32.8" hidden="false" customHeight="false" outlineLevel="0" collapsed="false">
      <c r="A71" s="3" t="s">
        <v>244</v>
      </c>
      <c r="B71" s="8" t="s">
        <v>245</v>
      </c>
      <c r="C71" s="16" t="n">
        <v>10</v>
      </c>
      <c r="D71" s="12" t="s">
        <v>246</v>
      </c>
      <c r="E71" s="13" t="s">
        <v>247</v>
      </c>
      <c r="F71" s="13"/>
      <c r="G71" s="13"/>
      <c r="H71" s="13"/>
      <c r="I71" s="13"/>
      <c r="J71" s="13"/>
    </row>
    <row r="72" customFormat="false" ht="32.8" hidden="false" customHeight="false" outlineLevel="0" collapsed="false">
      <c r="A72" s="3" t="s">
        <v>248</v>
      </c>
      <c r="B72" s="8" t="s">
        <v>249</v>
      </c>
      <c r="C72" s="16" t="n">
        <v>1.5</v>
      </c>
      <c r="D72" s="12" t="s">
        <v>250</v>
      </c>
      <c r="E72" s="13" t="s">
        <v>251</v>
      </c>
      <c r="F72" s="13"/>
      <c r="G72" s="13"/>
      <c r="H72" s="13"/>
      <c r="I72" s="13"/>
      <c r="J72" s="13"/>
    </row>
    <row r="73" customFormat="false" ht="32.8" hidden="false" customHeight="false" outlineLevel="0" collapsed="false">
      <c r="A73" s="3" t="s">
        <v>252</v>
      </c>
      <c r="B73" s="8" t="s">
        <v>253</v>
      </c>
      <c r="C73" s="15" t="n">
        <v>0.5</v>
      </c>
      <c r="D73" s="12" t="s">
        <v>226</v>
      </c>
      <c r="E73" s="13" t="s">
        <v>254</v>
      </c>
      <c r="F73" s="13"/>
      <c r="G73" s="13"/>
      <c r="H73" s="13"/>
      <c r="I73" s="13"/>
      <c r="J73" s="13"/>
    </row>
    <row r="74" customFormat="false" ht="32.8" hidden="false" customHeight="false" outlineLevel="0" collapsed="false">
      <c r="A74" s="3" t="s">
        <v>255</v>
      </c>
      <c r="B74" s="8" t="s">
        <v>256</v>
      </c>
      <c r="C74" s="16" t="n">
        <v>2</v>
      </c>
      <c r="D74" s="12" t="s">
        <v>250</v>
      </c>
      <c r="E74" s="13" t="s">
        <v>257</v>
      </c>
      <c r="F74" s="13"/>
      <c r="G74" s="13"/>
      <c r="H74" s="13"/>
      <c r="I74" s="13"/>
      <c r="J74" s="13"/>
    </row>
    <row r="75" customFormat="false" ht="32.8" hidden="false" customHeight="false" outlineLevel="0" collapsed="false">
      <c r="A75" s="3" t="s">
        <v>258</v>
      </c>
      <c r="B75" s="8" t="s">
        <v>259</v>
      </c>
      <c r="C75" s="14" t="n">
        <v>24</v>
      </c>
      <c r="D75" s="12" t="s">
        <v>222</v>
      </c>
      <c r="E75" s="13" t="s">
        <v>260</v>
      </c>
      <c r="F75" s="13"/>
      <c r="G75" s="13"/>
      <c r="H75" s="13"/>
      <c r="I75" s="13"/>
      <c r="J75" s="13"/>
    </row>
    <row r="76" customFormat="false" ht="43.25" hidden="false" customHeight="false" outlineLevel="0" collapsed="false">
      <c r="A76" s="3" t="s">
        <v>261</v>
      </c>
      <c r="B76" s="8" t="s">
        <v>262</v>
      </c>
      <c r="C76" s="15" t="n">
        <v>0.6</v>
      </c>
      <c r="D76" s="12" t="s">
        <v>226</v>
      </c>
      <c r="E76" s="13" t="s">
        <v>263</v>
      </c>
      <c r="F76" s="13"/>
      <c r="G76" s="13"/>
      <c r="H76" s="13"/>
      <c r="I76" s="13"/>
      <c r="J76" s="13"/>
    </row>
    <row r="77" customFormat="false" ht="32.8" hidden="false" customHeight="false" outlineLevel="0" collapsed="false">
      <c r="A77" s="3" t="s">
        <v>264</v>
      </c>
      <c r="B77" s="8" t="s">
        <v>265</v>
      </c>
      <c r="C77" s="15" t="n">
        <v>0.9</v>
      </c>
      <c r="D77" s="12" t="s">
        <v>226</v>
      </c>
      <c r="E77" s="13" t="s">
        <v>266</v>
      </c>
      <c r="F77" s="13"/>
      <c r="G77" s="13"/>
      <c r="H77" s="13"/>
      <c r="I77" s="13"/>
      <c r="J77" s="13"/>
    </row>
    <row r="78" customFormat="false" ht="22.35" hidden="false" customHeight="false" outlineLevel="0" collapsed="false">
      <c r="A78" s="3" t="s">
        <v>267</v>
      </c>
      <c r="B78" s="8" t="s">
        <v>268</v>
      </c>
      <c r="C78" s="15" t="n">
        <v>0.15</v>
      </c>
      <c r="D78" s="12" t="s">
        <v>226</v>
      </c>
      <c r="E78" s="13" t="s">
        <v>269</v>
      </c>
      <c r="F78" s="13"/>
      <c r="G78" s="13"/>
      <c r="H78" s="13"/>
      <c r="I78" s="13"/>
      <c r="J78" s="13"/>
    </row>
    <row r="79" customFormat="false" ht="22.35" hidden="false" customHeight="false" outlineLevel="0" collapsed="false">
      <c r="A79" s="3" t="s">
        <v>270</v>
      </c>
      <c r="B79" s="8" t="s">
        <v>271</v>
      </c>
      <c r="C79" s="14" t="n">
        <v>12</v>
      </c>
      <c r="D79" s="12" t="s">
        <v>222</v>
      </c>
      <c r="E79" s="13" t="s">
        <v>272</v>
      </c>
      <c r="F79" s="13"/>
      <c r="G79" s="13"/>
      <c r="H79" s="13"/>
      <c r="I79" s="13"/>
      <c r="J79" s="13"/>
    </row>
    <row r="80" customFormat="false" ht="22.35" hidden="false" customHeight="false" outlineLevel="0" collapsed="false">
      <c r="A80" s="3" t="s">
        <v>273</v>
      </c>
      <c r="B80" s="8" t="s">
        <v>274</v>
      </c>
      <c r="C80" s="16" t="n">
        <v>1.5</v>
      </c>
      <c r="D80" s="12" t="s">
        <v>275</v>
      </c>
      <c r="E80" s="13" t="s">
        <v>276</v>
      </c>
      <c r="F80" s="13"/>
      <c r="G80" s="13"/>
      <c r="H80" s="13"/>
      <c r="I80" s="13"/>
      <c r="J80" s="13"/>
    </row>
    <row r="81" customFormat="false" ht="32.8" hidden="false" customHeight="false" outlineLevel="0" collapsed="false">
      <c r="A81" s="3" t="s">
        <v>277</v>
      </c>
      <c r="B81" s="8" t="s">
        <v>278</v>
      </c>
      <c r="C81" s="15" t="n">
        <v>0.4</v>
      </c>
      <c r="D81" s="12" t="s">
        <v>226</v>
      </c>
      <c r="E81" s="13" t="s">
        <v>276</v>
      </c>
      <c r="F81" s="13"/>
      <c r="G81" s="13"/>
      <c r="H81" s="13"/>
      <c r="I81" s="13"/>
      <c r="J81" s="13"/>
    </row>
    <row r="82" customFormat="false" ht="15" hidden="false" customHeight="false" outlineLevel="0" collapsed="false">
      <c r="A82" s="3" t="s">
        <v>279</v>
      </c>
      <c r="B82" s="8" t="s">
        <v>280</v>
      </c>
      <c r="C82" s="15" t="n">
        <v>0.5</v>
      </c>
      <c r="D82" s="12" t="s">
        <v>281</v>
      </c>
      <c r="E82" s="13" t="s">
        <v>276</v>
      </c>
      <c r="F82" s="13"/>
      <c r="G82" s="13"/>
      <c r="H82" s="13"/>
      <c r="I82" s="13"/>
      <c r="J82" s="13"/>
    </row>
    <row r="83" customFormat="false" ht="22.35" hidden="false" customHeight="false" outlineLevel="0" collapsed="false">
      <c r="A83" s="3" t="s">
        <v>282</v>
      </c>
      <c r="B83" s="8" t="s">
        <v>283</v>
      </c>
      <c r="C83" s="14" t="n">
        <v>120</v>
      </c>
      <c r="D83" s="12" t="s">
        <v>284</v>
      </c>
      <c r="E83" s="13" t="s">
        <v>276</v>
      </c>
      <c r="F83" s="13"/>
      <c r="G83" s="13"/>
      <c r="H83" s="13"/>
      <c r="I83" s="13"/>
      <c r="J83" s="13"/>
    </row>
    <row r="84" customFormat="false" ht="22.35" hidden="false" customHeight="false" outlineLevel="0" collapsed="false">
      <c r="A84" s="3" t="s">
        <v>285</v>
      </c>
      <c r="B84" s="8" t="s">
        <v>286</v>
      </c>
      <c r="C84" s="14" t="n">
        <v>84</v>
      </c>
      <c r="D84" s="12" t="s">
        <v>222</v>
      </c>
      <c r="E84" s="13" t="s">
        <v>287</v>
      </c>
      <c r="F84" s="13"/>
      <c r="G84" s="13"/>
      <c r="H84" s="13"/>
      <c r="I84" s="13"/>
      <c r="J84" s="13"/>
    </row>
    <row r="85" customFormat="false" ht="22.35" hidden="false" customHeight="false" outlineLevel="0" collapsed="false">
      <c r="A85" s="3" t="s">
        <v>288</v>
      </c>
      <c r="B85" s="8" t="s">
        <v>289</v>
      </c>
      <c r="C85" s="14" t="n">
        <v>3</v>
      </c>
      <c r="D85" s="12" t="s">
        <v>222</v>
      </c>
      <c r="E85" s="13"/>
      <c r="F85" s="13"/>
      <c r="G85" s="13"/>
      <c r="H85" s="13"/>
      <c r="I85" s="13"/>
      <c r="J85" s="13"/>
    </row>
    <row r="87" customFormat="false" ht="15" hidden="false" customHeight="false" outlineLevel="0" collapsed="false">
      <c r="A87" s="4" t="s">
        <v>290</v>
      </c>
    </row>
    <row r="88" customFormat="false" ht="27.75" hidden="false" customHeight="true" outlineLevel="0" collapsed="false">
      <c r="A88" s="5" t="s">
        <v>291</v>
      </c>
      <c r="B88" s="5" t="s">
        <v>292</v>
      </c>
      <c r="C88" s="5" t="s">
        <v>293</v>
      </c>
      <c r="D88" s="5" t="s">
        <v>294</v>
      </c>
      <c r="E88" s="5" t="s">
        <v>295</v>
      </c>
    </row>
    <row r="89" customFormat="false" ht="15" hidden="false" customHeight="false" outlineLevel="0" collapsed="false">
      <c r="A89" s="12" t="s">
        <v>296</v>
      </c>
      <c r="B89" s="17" t="n">
        <v>143</v>
      </c>
      <c r="C89" s="17" t="n">
        <v>157</v>
      </c>
      <c r="D89" s="17" t="n">
        <v>179</v>
      </c>
      <c r="E89" s="17" t="n">
        <v>100</v>
      </c>
    </row>
    <row r="90" customFormat="false" ht="15" hidden="false" customHeight="false" outlineLevel="0" collapsed="false">
      <c r="A90" s="12" t="s">
        <v>297</v>
      </c>
      <c r="B90" s="17" t="n">
        <v>194</v>
      </c>
      <c r="C90" s="17" t="n">
        <v>213</v>
      </c>
      <c r="D90" s="17" t="n">
        <v>242</v>
      </c>
      <c r="E90" s="17" t="n">
        <v>136</v>
      </c>
    </row>
    <row r="91" customFormat="false" ht="15" hidden="false" customHeight="false" outlineLevel="0" collapsed="false">
      <c r="A91" s="12" t="s">
        <v>298</v>
      </c>
      <c r="B91" s="17" t="n">
        <v>136</v>
      </c>
      <c r="C91" s="17" t="n">
        <v>149</v>
      </c>
      <c r="D91" s="17" t="n">
        <v>170</v>
      </c>
      <c r="E91" s="17" t="n">
        <v>95</v>
      </c>
    </row>
    <row r="92" customFormat="false" ht="15" hidden="false" customHeight="false" outlineLevel="0" collapsed="false">
      <c r="A92" s="12" t="s">
        <v>299</v>
      </c>
      <c r="B92" s="17" t="n">
        <v>104</v>
      </c>
      <c r="C92" s="17" t="n">
        <v>115</v>
      </c>
      <c r="D92" s="17" t="n">
        <v>130</v>
      </c>
      <c r="E92" s="17" t="n">
        <v>73</v>
      </c>
    </row>
    <row r="93" customFormat="false" ht="15" hidden="false" customHeight="false" outlineLevel="0" collapsed="false">
      <c r="A93" s="12" t="s">
        <v>300</v>
      </c>
      <c r="B93" s="17" t="n">
        <v>107</v>
      </c>
      <c r="C93" s="17" t="n">
        <v>117</v>
      </c>
      <c r="D93" s="17" t="n">
        <v>133</v>
      </c>
      <c r="E93" s="17" t="n">
        <v>75</v>
      </c>
    </row>
    <row r="94" customFormat="false" ht="15" hidden="false" customHeight="false" outlineLevel="0" collapsed="false">
      <c r="A94" s="12" t="s">
        <v>301</v>
      </c>
      <c r="B94" s="17" t="n">
        <v>65</v>
      </c>
      <c r="C94" s="17" t="n">
        <v>72</v>
      </c>
      <c r="D94" s="17" t="n">
        <v>82</v>
      </c>
      <c r="E94" s="17" t="n">
        <v>46</v>
      </c>
    </row>
    <row r="96" customFormat="false" ht="15" hidden="false" customHeight="false" outlineLevel="0" collapsed="false">
      <c r="A96" s="4" t="s">
        <v>302</v>
      </c>
    </row>
    <row r="97" customFormat="false" ht="30" hidden="false" customHeight="true" outlineLevel="0" collapsed="false">
      <c r="A97" s="5" t="s">
        <v>303</v>
      </c>
      <c r="B97" s="5" t="s">
        <v>304</v>
      </c>
      <c r="C97" s="5" t="s">
        <v>7</v>
      </c>
      <c r="D97" s="5" t="s">
        <v>9</v>
      </c>
      <c r="E97" s="5" t="s">
        <v>13</v>
      </c>
      <c r="F97" s="5" t="s">
        <v>305</v>
      </c>
      <c r="G97" s="5" t="s">
        <v>101</v>
      </c>
      <c r="H97" s="5" t="s">
        <v>306</v>
      </c>
      <c r="I97" s="5" t="s">
        <v>307</v>
      </c>
      <c r="J97" s="5" t="s">
        <v>308</v>
      </c>
      <c r="K97" s="5" t="s">
        <v>309</v>
      </c>
      <c r="L97" s="5" t="s">
        <v>21</v>
      </c>
      <c r="M97" s="5" t="s">
        <v>310</v>
      </c>
      <c r="N97" s="5" t="s">
        <v>311</v>
      </c>
    </row>
    <row r="98" customFormat="false" ht="15" hidden="false" customHeight="false" outlineLevel="0" collapsed="false">
      <c r="A98" s="12" t="s">
        <v>312</v>
      </c>
      <c r="B98" s="18" t="n">
        <v>2709.9</v>
      </c>
      <c r="C98" s="18" t="n">
        <v>6008.31</v>
      </c>
      <c r="D98" s="18" t="n">
        <v>699.29</v>
      </c>
      <c r="E98" s="18" t="n">
        <v>834.69</v>
      </c>
      <c r="F98" s="18" t="n">
        <v>597.41</v>
      </c>
      <c r="G98" s="18" t="n">
        <v>152.1</v>
      </c>
      <c r="H98" s="18" t="n">
        <v>188.67</v>
      </c>
      <c r="I98" s="18" t="n">
        <v>1048.45</v>
      </c>
      <c r="J98" s="18" t="n">
        <v>249.86</v>
      </c>
      <c r="K98" s="18" t="n">
        <v>53.13</v>
      </c>
      <c r="L98" s="19" t="n">
        <f aca="false">E98+F98+G98-H98-I98-J98-K98</f>
        <v>44.0899999999997</v>
      </c>
      <c r="M98" s="19" t="n">
        <f aca="false">L98*100000/(B98*1000)</f>
        <v>1.62699730617365</v>
      </c>
      <c r="N98" s="20" t="n">
        <f aca="false">D98/C98</f>
        <v>0.116387137148383</v>
      </c>
    </row>
    <row r="99" customFormat="false" ht="15" hidden="false" customHeight="false" outlineLevel="0" collapsed="false">
      <c r="A99" s="12" t="s">
        <v>313</v>
      </c>
      <c r="B99" s="18" t="n">
        <v>4516.5</v>
      </c>
      <c r="C99" s="18" t="n">
        <v>17357.33</v>
      </c>
      <c r="D99" s="18" t="n">
        <v>1488.55</v>
      </c>
      <c r="E99" s="18" t="n">
        <v>2547.44</v>
      </c>
      <c r="F99" s="18" t="n">
        <v>786.07</v>
      </c>
      <c r="G99" s="18" t="n">
        <v>454.64</v>
      </c>
      <c r="H99" s="18" t="n">
        <v>483.37</v>
      </c>
      <c r="I99" s="18" t="n">
        <v>1747.41</v>
      </c>
      <c r="J99" s="18" t="n">
        <v>434.54</v>
      </c>
      <c r="K99" s="18" t="n">
        <v>158.81</v>
      </c>
      <c r="L99" s="19" t="n">
        <f aca="false">E99+F99+G99-H99-I99-J99-K99</f>
        <v>964.02</v>
      </c>
      <c r="M99" s="19" t="n">
        <f aca="false">L99*100000/(B99*1000)</f>
        <v>21.3444038525407</v>
      </c>
      <c r="N99" s="20" t="n">
        <f aca="false">D99/C99</f>
        <v>0.0857591576584647</v>
      </c>
    </row>
    <row r="100" customFormat="false" ht="15" hidden="false" customHeight="false" outlineLevel="0" collapsed="false">
      <c r="A100" s="12" t="s">
        <v>314</v>
      </c>
      <c r="B100" s="18" t="n">
        <v>5419.8</v>
      </c>
      <c r="C100" s="18" t="n">
        <v>32845.41</v>
      </c>
      <c r="D100" s="18" t="n">
        <v>2012</v>
      </c>
      <c r="E100" s="18" t="n">
        <v>5102.82</v>
      </c>
      <c r="F100" s="18" t="n">
        <v>628.86</v>
      </c>
      <c r="G100" s="18" t="n">
        <v>883.37</v>
      </c>
      <c r="H100" s="18" t="n">
        <v>782.67</v>
      </c>
      <c r="I100" s="18" t="n">
        <v>2096.89</v>
      </c>
      <c r="J100" s="18" t="n">
        <v>543.18</v>
      </c>
      <c r="K100" s="18" t="n">
        <v>308.58</v>
      </c>
      <c r="L100" s="19" t="n">
        <f aca="false">E100+F100+G100-H100-I100-J100-K100</f>
        <v>2883.73</v>
      </c>
      <c r="M100" s="19" t="n">
        <f aca="false">L100*100000/(B100*1000)</f>
        <v>53.207313923023</v>
      </c>
      <c r="N100" s="20" t="n">
        <f aca="false">D100/C100</f>
        <v>0.061256656561754</v>
      </c>
    </row>
    <row r="101" customFormat="false" ht="15" hidden="false" customHeight="false" outlineLevel="0" collapsed="false">
      <c r="A101" s="12" t="s">
        <v>315</v>
      </c>
      <c r="B101" s="18" t="n">
        <v>3793.9</v>
      </c>
      <c r="C101" s="18" t="n">
        <v>35889.62</v>
      </c>
      <c r="D101" s="18" t="n">
        <v>1758.78</v>
      </c>
      <c r="E101" s="18" t="n">
        <v>5817.99</v>
      </c>
      <c r="F101" s="18" t="n">
        <v>220.1</v>
      </c>
      <c r="G101" s="18" t="n">
        <v>977.84</v>
      </c>
      <c r="H101" s="18" t="n">
        <v>779.74</v>
      </c>
      <c r="I101" s="18" t="n">
        <v>1467.82</v>
      </c>
      <c r="J101" s="18" t="n">
        <v>418.25</v>
      </c>
      <c r="K101" s="18" t="n">
        <v>341.58</v>
      </c>
      <c r="L101" s="19" t="n">
        <f aca="false">E101+F101+G101-H101-I101-J101-K101</f>
        <v>4008.54</v>
      </c>
      <c r="M101" s="19" t="n">
        <f aca="false">L101*100000/(B101*1000)</f>
        <v>105.657502833496</v>
      </c>
      <c r="N101" s="20" t="n">
        <f aca="false">D101/C101</f>
        <v>0.049005255558571</v>
      </c>
    </row>
    <row r="102" customFormat="false" ht="15" hidden="false" customHeight="false" outlineLevel="0" collapsed="false">
      <c r="A102" s="12" t="s">
        <v>316</v>
      </c>
      <c r="B102" s="18" t="n">
        <v>1625.9</v>
      </c>
      <c r="C102" s="18" t="n">
        <v>25234.87</v>
      </c>
      <c r="D102" s="18" t="n">
        <v>1082.07</v>
      </c>
      <c r="E102" s="18" t="n">
        <v>4197.09</v>
      </c>
      <c r="F102" s="18" t="n">
        <v>37.73</v>
      </c>
      <c r="G102" s="18" t="n">
        <v>691.99</v>
      </c>
      <c r="H102" s="18" t="n">
        <v>521.13</v>
      </c>
      <c r="I102" s="18" t="n">
        <v>629.07</v>
      </c>
      <c r="J102" s="18" t="n">
        <v>203.69</v>
      </c>
      <c r="K102" s="18" t="n">
        <v>241.71</v>
      </c>
      <c r="L102" s="19" t="n">
        <f aca="false">E102+F102+G102-H102-I102-J102-K102</f>
        <v>3331.21</v>
      </c>
      <c r="M102" s="19" t="n">
        <f aca="false">L102*100000/(B102*1000)</f>
        <v>204.884064210591</v>
      </c>
      <c r="N102" s="20" t="n">
        <f aca="false">D102/C102</f>
        <v>0.042879951432284</v>
      </c>
    </row>
    <row r="103" customFormat="false" ht="15" hidden="false" customHeight="false" outlineLevel="0" collapsed="false">
      <c r="A103" s="6" t="s">
        <v>317</v>
      </c>
      <c r="B103" s="21" t="n">
        <f aca="false">SUM(B98:B102)</f>
        <v>18066</v>
      </c>
      <c r="C103" s="21" t="n">
        <f aca="false">SUM(C98:C102)</f>
        <v>117335.54</v>
      </c>
      <c r="D103" s="21" t="n">
        <f aca="false">SUM(D98:D102)</f>
        <v>7040.69</v>
      </c>
      <c r="E103" s="21" t="n">
        <f aca="false">SUM(E98:E102)</f>
        <v>18500.03</v>
      </c>
      <c r="F103" s="21" t="n">
        <f aca="false">SUM(F98:F102)</f>
        <v>2270.17</v>
      </c>
      <c r="G103" s="21" t="n">
        <f aca="false">SUM(G98:G102)</f>
        <v>3159.94</v>
      </c>
      <c r="H103" s="21" t="n">
        <f aca="false">SUM(H98:H102)</f>
        <v>2755.58</v>
      </c>
      <c r="I103" s="21" t="n">
        <f aca="false">SUM(I98:I102)</f>
        <v>6989.64</v>
      </c>
      <c r="J103" s="21" t="n">
        <f aca="false">SUM(J98:J102)</f>
        <v>1849.52</v>
      </c>
      <c r="K103" s="21" t="n">
        <f aca="false">SUM(K98:K102)</f>
        <v>1103.81</v>
      </c>
      <c r="L103" s="21" t="n">
        <f aca="false">SUM(L98:L102)</f>
        <v>11231.59</v>
      </c>
      <c r="M103" s="21" t="n">
        <f aca="false">L103*100000/(B103*1000)</f>
        <v>62.1697664120447</v>
      </c>
      <c r="N103" s="22" t="n">
        <f aca="false">D103/C103</f>
        <v>0.0600047521833538</v>
      </c>
    </row>
    <row r="105" customFormat="false" ht="15" hidden="false" customHeight="false" outlineLevel="0" collapsed="false">
      <c r="A105" s="4" t="s">
        <v>318</v>
      </c>
    </row>
    <row r="106" customFormat="false" ht="30" hidden="false" customHeight="true" outlineLevel="0" collapsed="false">
      <c r="A106" s="5" t="s">
        <v>319</v>
      </c>
      <c r="B106" s="5" t="s">
        <v>304</v>
      </c>
      <c r="C106" s="5" t="s">
        <v>7</v>
      </c>
      <c r="D106" s="5" t="s">
        <v>9</v>
      </c>
      <c r="E106" s="5" t="s">
        <v>13</v>
      </c>
      <c r="F106" s="5" t="s">
        <v>305</v>
      </c>
      <c r="G106" s="5" t="s">
        <v>101</v>
      </c>
      <c r="H106" s="5" t="s">
        <v>306</v>
      </c>
      <c r="I106" s="5" t="s">
        <v>307</v>
      </c>
      <c r="J106" s="5" t="s">
        <v>308</v>
      </c>
      <c r="K106" s="5" t="s">
        <v>309</v>
      </c>
      <c r="L106" s="5" t="s">
        <v>21</v>
      </c>
      <c r="M106" s="5" t="s">
        <v>310</v>
      </c>
      <c r="N106" s="5" t="s">
        <v>311</v>
      </c>
    </row>
    <row r="107" customFormat="false" ht="15" hidden="false" customHeight="false" outlineLevel="0" collapsed="false">
      <c r="A107" s="12" t="s">
        <v>320</v>
      </c>
      <c r="B107" s="18" t="n">
        <v>3071.2</v>
      </c>
      <c r="C107" s="18" t="n">
        <v>18906.21</v>
      </c>
      <c r="D107" s="18" t="n">
        <v>2513.64</v>
      </c>
      <c r="E107" s="18" t="n">
        <v>2715.79</v>
      </c>
      <c r="F107" s="18" t="n">
        <v>464.04</v>
      </c>
      <c r="G107" s="18" t="n">
        <v>469.65</v>
      </c>
      <c r="H107" s="18" t="n">
        <v>452.37</v>
      </c>
      <c r="I107" s="18" t="n">
        <v>1188.24</v>
      </c>
      <c r="J107" s="18" t="n">
        <v>314.42</v>
      </c>
      <c r="K107" s="18" t="n">
        <v>164.05</v>
      </c>
      <c r="L107" s="19" t="n">
        <f aca="false">E107+F107+G107-H107-I107-J107-K107</f>
        <v>1530.4</v>
      </c>
      <c r="M107" s="19" t="n">
        <f aca="false">L107*100000/(B107*1000)</f>
        <v>49.8306850742381</v>
      </c>
      <c r="N107" s="20" t="n">
        <f aca="false">D107/C107</f>
        <v>0.132953140793422</v>
      </c>
    </row>
    <row r="108" customFormat="false" ht="15" hidden="false" customHeight="false" outlineLevel="0" collapsed="false">
      <c r="A108" s="12" t="s">
        <v>321</v>
      </c>
      <c r="B108" s="18" t="n">
        <v>8491</v>
      </c>
      <c r="C108" s="18" t="n">
        <v>55021.16</v>
      </c>
      <c r="D108" s="18" t="n">
        <v>3021.51</v>
      </c>
      <c r="E108" s="18" t="n">
        <v>8701.9</v>
      </c>
      <c r="F108" s="18" t="n">
        <v>1069.12</v>
      </c>
      <c r="G108" s="18" t="n">
        <v>1489.78</v>
      </c>
      <c r="H108" s="18" t="n">
        <v>1304.54</v>
      </c>
      <c r="I108" s="18" t="n">
        <v>3285.13</v>
      </c>
      <c r="J108" s="18" t="n">
        <v>869.28</v>
      </c>
      <c r="K108" s="18" t="n">
        <v>520.4</v>
      </c>
      <c r="L108" s="19" t="n">
        <f aca="false">E108+F108+G108-H108-I108-J108-K108</f>
        <v>5281.45</v>
      </c>
      <c r="M108" s="19" t="n">
        <f aca="false">L108*100000/(B108*1000)</f>
        <v>62.20056530444</v>
      </c>
      <c r="N108" s="20" t="n">
        <f aca="false">D108/C108</f>
        <v>0.0549154179955494</v>
      </c>
    </row>
    <row r="109" customFormat="false" ht="15" hidden="false" customHeight="false" outlineLevel="0" collapsed="false">
      <c r="A109" s="12" t="s">
        <v>322</v>
      </c>
      <c r="B109" s="18" t="n">
        <v>6503.8</v>
      </c>
      <c r="C109" s="18" t="n">
        <v>43408.17</v>
      </c>
      <c r="D109" s="18" t="n">
        <v>1505.54</v>
      </c>
      <c r="E109" s="18" t="n">
        <v>7082.34</v>
      </c>
      <c r="F109" s="18" t="n">
        <v>737.01</v>
      </c>
      <c r="G109" s="18" t="n">
        <v>1200.51</v>
      </c>
      <c r="H109" s="18" t="n">
        <v>998.67</v>
      </c>
      <c r="I109" s="18" t="n">
        <v>2516.27</v>
      </c>
      <c r="J109" s="18" t="n">
        <v>665.82</v>
      </c>
      <c r="K109" s="18" t="n">
        <v>419.36</v>
      </c>
      <c r="L109" s="19" t="n">
        <f aca="false">E109+F109+G109-H109-I109-J109-K109</f>
        <v>4419.74</v>
      </c>
      <c r="M109" s="19" t="n">
        <f aca="false">L109*100000/(B109*1000)</f>
        <v>67.9562717180725</v>
      </c>
      <c r="N109" s="20" t="n">
        <f aca="false">D109/C109</f>
        <v>0.0346833326537378</v>
      </c>
    </row>
    <row r="110" customFormat="false" ht="15" hidden="false" customHeight="false" outlineLevel="0" collapsed="false">
      <c r="A110" s="6" t="s">
        <v>317</v>
      </c>
      <c r="B110" s="21" t="n">
        <f aca="false">SUM(B107:B109)</f>
        <v>18066</v>
      </c>
      <c r="C110" s="21" t="n">
        <f aca="false">SUM(C107:C109)</f>
        <v>117335.54</v>
      </c>
      <c r="D110" s="21" t="n">
        <f aca="false">SUM(D107:D109)</f>
        <v>7040.69</v>
      </c>
      <c r="E110" s="21" t="n">
        <f aca="false">SUM(E107:E109)</f>
        <v>18500.03</v>
      </c>
      <c r="F110" s="21" t="n">
        <f aca="false">SUM(F107:F109)</f>
        <v>2270.17</v>
      </c>
      <c r="G110" s="21" t="n">
        <f aca="false">SUM(G107:G109)</f>
        <v>3159.94</v>
      </c>
      <c r="H110" s="21" t="n">
        <f aca="false">SUM(H107:H109)</f>
        <v>2755.58</v>
      </c>
      <c r="I110" s="21" t="n">
        <f aca="false">SUM(I107:I109)</f>
        <v>6989.64</v>
      </c>
      <c r="J110" s="21" t="n">
        <f aca="false">SUM(J107:J109)</f>
        <v>1849.52</v>
      </c>
      <c r="K110" s="21" t="n">
        <f aca="false">SUM(K107:K109)</f>
        <v>1103.81</v>
      </c>
      <c r="L110" s="21" t="n">
        <f aca="false">SUM(L107:L109)</f>
        <v>11231.59</v>
      </c>
      <c r="M110" s="21" t="n">
        <f aca="false">L110*100000/(B110*1000)</f>
        <v>62.1697664120448</v>
      </c>
      <c r="N110" s="22" t="n">
        <f aca="false">D110/C110</f>
        <v>0.0600047521833538</v>
      </c>
    </row>
    <row r="112" customFormat="false" ht="15" hidden="false" customHeight="false" outlineLevel="0" collapsed="false">
      <c r="A112" s="4" t="s">
        <v>323</v>
      </c>
    </row>
    <row r="113" customFormat="false" ht="30" hidden="false" customHeight="true" outlineLevel="0" collapsed="false">
      <c r="A113" s="5" t="s">
        <v>324</v>
      </c>
      <c r="B113" s="5" t="s">
        <v>325</v>
      </c>
      <c r="C113" s="5" t="s">
        <v>11</v>
      </c>
      <c r="D113" s="5" t="s">
        <v>13</v>
      </c>
      <c r="E113" s="5" t="s">
        <v>306</v>
      </c>
      <c r="F113" s="5" t="s">
        <v>326</v>
      </c>
      <c r="G113" s="5" t="s">
        <v>327</v>
      </c>
      <c r="H113" s="5" t="s">
        <v>328</v>
      </c>
      <c r="I113" s="5" t="s">
        <v>329</v>
      </c>
      <c r="J113" s="5" t="s">
        <v>330</v>
      </c>
      <c r="K113" s="5" t="s">
        <v>331</v>
      </c>
    </row>
    <row r="114" customFormat="false" ht="15" hidden="false" customHeight="false" outlineLevel="0" collapsed="false">
      <c r="A114" s="12" t="s">
        <v>332</v>
      </c>
      <c r="B114" s="12" t="s">
        <v>333</v>
      </c>
      <c r="C114" s="18" t="n">
        <v>2624.59</v>
      </c>
      <c r="D114" s="18" t="n">
        <v>362.59</v>
      </c>
      <c r="E114" s="18" t="n">
        <v>281.6</v>
      </c>
      <c r="F114" s="23" t="n">
        <v>0.0609</v>
      </c>
      <c r="G114" s="17" t="n">
        <v>154</v>
      </c>
      <c r="H114" s="18" t="n">
        <v>2.2</v>
      </c>
      <c r="I114" s="20" t="n">
        <f aca="false">D114/C114</f>
        <v>0.138151101695884</v>
      </c>
      <c r="J114" s="20" t="n">
        <f aca="false">E114/C114</f>
        <v>0.107292948612926</v>
      </c>
      <c r="K114" s="20" t="n">
        <f aca="false">I114-J114</f>
        <v>0.0308581530829577</v>
      </c>
    </row>
    <row r="115" customFormat="false" ht="15" hidden="false" customHeight="false" outlineLevel="0" collapsed="false">
      <c r="A115" s="12" t="s">
        <v>334</v>
      </c>
      <c r="B115" s="12" t="s">
        <v>333</v>
      </c>
      <c r="C115" s="18" t="n">
        <v>2315.81</v>
      </c>
      <c r="D115" s="18" t="n">
        <v>357.57</v>
      </c>
      <c r="E115" s="18" t="n">
        <v>129.21</v>
      </c>
      <c r="F115" s="23" t="n">
        <v>0.0516</v>
      </c>
      <c r="G115" s="17" t="n">
        <v>182</v>
      </c>
      <c r="H115" s="18" t="n">
        <v>4.3</v>
      </c>
      <c r="I115" s="20" t="n">
        <f aca="false">D115/C115</f>
        <v>0.154403858693071</v>
      </c>
      <c r="J115" s="20" t="n">
        <f aca="false">E115/C115</f>
        <v>0.0557947327285054</v>
      </c>
      <c r="K115" s="20" t="n">
        <f aca="false">I115-J115</f>
        <v>0.0986091259645653</v>
      </c>
    </row>
    <row r="116" customFormat="false" ht="15" hidden="false" customHeight="false" outlineLevel="0" collapsed="false">
      <c r="A116" s="12" t="s">
        <v>335</v>
      </c>
      <c r="B116" s="12" t="s">
        <v>333</v>
      </c>
      <c r="C116" s="18" t="n">
        <v>2161.43</v>
      </c>
      <c r="D116" s="18" t="n">
        <v>298.6</v>
      </c>
      <c r="E116" s="18" t="n">
        <v>18.55</v>
      </c>
      <c r="F116" s="23" t="n">
        <v>0.0375</v>
      </c>
      <c r="G116" s="17" t="n">
        <v>266</v>
      </c>
      <c r="H116" s="18" t="n">
        <v>16.2</v>
      </c>
      <c r="I116" s="20" t="n">
        <f aca="false">D116/C116</f>
        <v>0.138149280800211</v>
      </c>
      <c r="J116" s="20" t="n">
        <f aca="false">E116/C116</f>
        <v>0.00858228117496287</v>
      </c>
      <c r="K116" s="20" t="n">
        <f aca="false">I116-J116</f>
        <v>0.129566999625248</v>
      </c>
    </row>
    <row r="117" customFormat="false" ht="15" hidden="false" customHeight="false" outlineLevel="0" collapsed="false">
      <c r="A117" s="12" t="s">
        <v>336</v>
      </c>
      <c r="B117" s="12" t="s">
        <v>333</v>
      </c>
      <c r="C117" s="18" t="n">
        <v>2470.2</v>
      </c>
      <c r="D117" s="18" t="n">
        <v>449.66</v>
      </c>
      <c r="E117" s="18" t="n">
        <v>26.5</v>
      </c>
      <c r="F117" s="23" t="n">
        <v>0.0422</v>
      </c>
      <c r="G117" s="17" t="n">
        <v>364</v>
      </c>
      <c r="H117" s="18" t="n">
        <v>18.9</v>
      </c>
      <c r="I117" s="20" t="n">
        <f aca="false">D117/C117</f>
        <v>0.182033843413489</v>
      </c>
      <c r="J117" s="20" t="n">
        <f aca="false">E117/C117</f>
        <v>0.010727876285321</v>
      </c>
      <c r="K117" s="20" t="n">
        <f aca="false">I117-J117</f>
        <v>0.171305967128168</v>
      </c>
    </row>
    <row r="118" customFormat="false" ht="15" hidden="false" customHeight="false" outlineLevel="0" collapsed="false">
      <c r="A118" s="12" t="s">
        <v>337</v>
      </c>
      <c r="B118" s="12" t="s">
        <v>333</v>
      </c>
      <c r="C118" s="18" t="n">
        <v>1852.65</v>
      </c>
      <c r="D118" s="18" t="n">
        <v>316.17</v>
      </c>
      <c r="E118" s="18" t="n">
        <v>19.88</v>
      </c>
      <c r="F118" s="23" t="n">
        <v>0.0422</v>
      </c>
      <c r="G118" s="17" t="n">
        <v>315</v>
      </c>
      <c r="H118" s="18" t="n">
        <v>21.6</v>
      </c>
      <c r="I118" s="20" t="n">
        <f aca="false">D118/C118</f>
        <v>0.170658246295847</v>
      </c>
      <c r="J118" s="20" t="n">
        <f aca="false">E118/C118</f>
        <v>0.0107305751221224</v>
      </c>
      <c r="K118" s="20" t="n">
        <f aca="false">I118-J118</f>
        <v>0.159927671173724</v>
      </c>
    </row>
    <row r="119" customFormat="false" ht="15" hidden="false" customHeight="false" outlineLevel="0" collapsed="false">
      <c r="A119" s="12" t="s">
        <v>338</v>
      </c>
      <c r="B119" s="12" t="s">
        <v>333</v>
      </c>
      <c r="C119" s="18" t="n">
        <v>1852.65</v>
      </c>
      <c r="D119" s="18" t="n">
        <v>376.39</v>
      </c>
      <c r="E119" s="18" t="n">
        <v>11.93</v>
      </c>
      <c r="F119" s="23" t="n">
        <v>0.0469</v>
      </c>
      <c r="G119" s="17" t="n">
        <v>301</v>
      </c>
      <c r="H119" s="18" t="n">
        <v>29.7</v>
      </c>
      <c r="I119" s="20" t="n">
        <f aca="false">D119/C119</f>
        <v>0.203163036731169</v>
      </c>
      <c r="J119" s="20" t="n">
        <f aca="false">E119/C119</f>
        <v>0.00643942460799395</v>
      </c>
      <c r="K119" s="20" t="n">
        <f aca="false">I119-J119</f>
        <v>0.196723612123175</v>
      </c>
    </row>
    <row r="120" customFormat="false" ht="15" hidden="false" customHeight="false" outlineLevel="0" collapsed="false">
      <c r="A120" s="12" t="s">
        <v>339</v>
      </c>
      <c r="B120" s="12" t="s">
        <v>333</v>
      </c>
      <c r="C120" s="18" t="n">
        <v>926.33</v>
      </c>
      <c r="D120" s="18" t="n">
        <v>165.61</v>
      </c>
      <c r="E120" s="18" t="n">
        <v>27.83</v>
      </c>
      <c r="F120" s="23" t="n">
        <v>0.0516</v>
      </c>
      <c r="G120" s="17" t="n">
        <v>112</v>
      </c>
      <c r="H120" s="18" t="n">
        <v>24.3</v>
      </c>
      <c r="I120" s="20" t="n">
        <f aca="false">D120/C120</f>
        <v>0.178780780067579</v>
      </c>
      <c r="J120" s="20" t="n">
        <f aca="false">E120/C120</f>
        <v>0.030043289108633</v>
      </c>
      <c r="K120" s="20" t="n">
        <f aca="false">I120-J120</f>
        <v>0.148737490958946</v>
      </c>
    </row>
    <row r="121" customFormat="false" ht="15" hidden="false" customHeight="false" outlineLevel="0" collapsed="false">
      <c r="A121" s="12" t="s">
        <v>340</v>
      </c>
      <c r="B121" s="12" t="s">
        <v>333</v>
      </c>
      <c r="C121" s="18" t="n">
        <v>1235.11</v>
      </c>
      <c r="D121" s="18" t="n">
        <v>240.89</v>
      </c>
      <c r="E121" s="18" t="n">
        <v>10.6</v>
      </c>
      <c r="F121" s="23" t="n">
        <v>0.0609</v>
      </c>
      <c r="G121" s="17" t="n">
        <v>210</v>
      </c>
      <c r="H121" s="18" t="n">
        <v>47.2</v>
      </c>
      <c r="I121" s="20" t="n">
        <f aca="false">D121/C121</f>
        <v>0.195035260017326</v>
      </c>
      <c r="J121" s="20" t="n">
        <f aca="false">E121/C121</f>
        <v>0.00858223154212985</v>
      </c>
      <c r="K121" s="20" t="n">
        <f aca="false">I121-J121</f>
        <v>0.186453028475197</v>
      </c>
    </row>
    <row r="122" customFormat="false" ht="15" hidden="false" customHeight="false" outlineLevel="0" collapsed="false">
      <c r="A122" s="12" t="s">
        <v>332</v>
      </c>
      <c r="B122" s="12" t="s">
        <v>341</v>
      </c>
      <c r="C122" s="18" t="n">
        <v>4562.59</v>
      </c>
      <c r="D122" s="18" t="n">
        <v>635.37</v>
      </c>
      <c r="E122" s="18" t="n">
        <v>335.55</v>
      </c>
      <c r="F122" s="23" t="n">
        <v>0.0488</v>
      </c>
      <c r="G122" s="17" t="n">
        <v>187</v>
      </c>
      <c r="H122" s="18" t="n">
        <v>1.8</v>
      </c>
      <c r="I122" s="20" t="n">
        <f aca="false">D122/C122</f>
        <v>0.139256431106017</v>
      </c>
      <c r="J122" s="20" t="n">
        <f aca="false">E122/C122</f>
        <v>0.0735437547533309</v>
      </c>
      <c r="K122" s="20" t="n">
        <f aca="false">I122-J122</f>
        <v>0.0657126763526857</v>
      </c>
    </row>
    <row r="123" customFormat="false" ht="15" hidden="false" customHeight="false" outlineLevel="0" collapsed="false">
      <c r="A123" s="12" t="s">
        <v>334</v>
      </c>
      <c r="B123" s="12" t="s">
        <v>341</v>
      </c>
      <c r="C123" s="18" t="n">
        <v>4025.81</v>
      </c>
      <c r="D123" s="18" t="n">
        <v>626.58</v>
      </c>
      <c r="E123" s="18" t="n">
        <v>153.96</v>
      </c>
      <c r="F123" s="23" t="n">
        <v>0.0413</v>
      </c>
      <c r="G123" s="17" t="n">
        <v>221</v>
      </c>
      <c r="H123" s="18" t="n">
        <v>3.5</v>
      </c>
      <c r="I123" s="20" t="n">
        <f aca="false">D123/C123</f>
        <v>0.155640728201281</v>
      </c>
      <c r="J123" s="20" t="n">
        <f aca="false">E123/C123</f>
        <v>0.0382432355227892</v>
      </c>
      <c r="K123" s="20" t="n">
        <f aca="false">I123-J123</f>
        <v>0.117397492678492</v>
      </c>
    </row>
    <row r="124" customFormat="false" ht="15" hidden="false" customHeight="false" outlineLevel="0" collapsed="false">
      <c r="A124" s="12" t="s">
        <v>335</v>
      </c>
      <c r="B124" s="12" t="s">
        <v>341</v>
      </c>
      <c r="C124" s="18" t="n">
        <v>3757.42</v>
      </c>
      <c r="D124" s="18" t="n">
        <v>523.25</v>
      </c>
      <c r="E124" s="18" t="n">
        <v>22.11</v>
      </c>
      <c r="F124" s="23" t="n">
        <v>0.03</v>
      </c>
      <c r="G124" s="17" t="n">
        <v>323</v>
      </c>
      <c r="H124" s="18" t="n">
        <v>13.2</v>
      </c>
      <c r="I124" s="20" t="n">
        <f aca="false">D124/C124</f>
        <v>0.139257788588979</v>
      </c>
      <c r="J124" s="20" t="n">
        <f aca="false">E124/C124</f>
        <v>0.00588435681930687</v>
      </c>
      <c r="K124" s="20" t="n">
        <f aca="false">I124-J124</f>
        <v>0.133373431769672</v>
      </c>
    </row>
    <row r="125" customFormat="false" ht="15" hidden="false" customHeight="false" outlineLevel="0" collapsed="false">
      <c r="A125" s="12" t="s">
        <v>336</v>
      </c>
      <c r="B125" s="12" t="s">
        <v>341</v>
      </c>
      <c r="C125" s="18" t="n">
        <v>4294.2</v>
      </c>
      <c r="D125" s="18" t="n">
        <v>787.95</v>
      </c>
      <c r="E125" s="18" t="n">
        <v>31.58</v>
      </c>
      <c r="F125" s="23" t="n">
        <v>0.0338</v>
      </c>
      <c r="G125" s="17" t="n">
        <v>442</v>
      </c>
      <c r="H125" s="18" t="n">
        <v>15.4</v>
      </c>
      <c r="I125" s="20" t="n">
        <f aca="false">D125/C125</f>
        <v>0.183491686460808</v>
      </c>
      <c r="J125" s="20" t="n">
        <f aca="false">E125/C125</f>
        <v>0.00735410553770202</v>
      </c>
      <c r="K125" s="20" t="n">
        <f aca="false">I125-J125</f>
        <v>0.176137580923106</v>
      </c>
    </row>
    <row r="126" customFormat="false" ht="15" hidden="false" customHeight="false" outlineLevel="0" collapsed="false">
      <c r="A126" s="12" t="s">
        <v>337</v>
      </c>
      <c r="B126" s="12" t="s">
        <v>341</v>
      </c>
      <c r="C126" s="18" t="n">
        <v>3220.65</v>
      </c>
      <c r="D126" s="18" t="n">
        <v>554.03</v>
      </c>
      <c r="E126" s="18" t="n">
        <v>23.69</v>
      </c>
      <c r="F126" s="23" t="n">
        <v>0.0338</v>
      </c>
      <c r="G126" s="17" t="n">
        <v>382</v>
      </c>
      <c r="H126" s="18" t="n">
        <v>17.6</v>
      </c>
      <c r="I126" s="20" t="n">
        <f aca="false">D126/C126</f>
        <v>0.172024280812879</v>
      </c>
      <c r="J126" s="20" t="n">
        <f aca="false">E126/C126</f>
        <v>0.00735565801934392</v>
      </c>
      <c r="K126" s="20" t="n">
        <f aca="false">I126-J126</f>
        <v>0.164668622793535</v>
      </c>
    </row>
    <row r="127" customFormat="false" ht="15" hidden="false" customHeight="false" outlineLevel="0" collapsed="false">
      <c r="A127" s="12" t="s">
        <v>338</v>
      </c>
      <c r="B127" s="12" t="s">
        <v>341</v>
      </c>
      <c r="C127" s="18" t="n">
        <v>3220.65</v>
      </c>
      <c r="D127" s="18" t="n">
        <v>659.56</v>
      </c>
      <c r="E127" s="18" t="n">
        <v>14.21</v>
      </c>
      <c r="F127" s="23" t="n">
        <v>0.0375</v>
      </c>
      <c r="G127" s="17" t="n">
        <v>365</v>
      </c>
      <c r="H127" s="18" t="n">
        <v>24.2</v>
      </c>
      <c r="I127" s="20" t="n">
        <f aca="false">D127/C127</f>
        <v>0.204790958346918</v>
      </c>
      <c r="J127" s="20" t="n">
        <f aca="false">E127/C127</f>
        <v>0.00441215282629283</v>
      </c>
      <c r="K127" s="20" t="n">
        <f aca="false">I127-J127</f>
        <v>0.200378805520625</v>
      </c>
    </row>
    <row r="128" customFormat="false" ht="15" hidden="false" customHeight="false" outlineLevel="0" collapsed="false">
      <c r="A128" s="12" t="s">
        <v>339</v>
      </c>
      <c r="B128" s="12" t="s">
        <v>341</v>
      </c>
      <c r="C128" s="18" t="n">
        <v>1610.32</v>
      </c>
      <c r="D128" s="18" t="n">
        <v>290.2</v>
      </c>
      <c r="E128" s="18" t="n">
        <v>33.16</v>
      </c>
      <c r="F128" s="23" t="n">
        <v>0.0413</v>
      </c>
      <c r="G128" s="17" t="n">
        <v>136</v>
      </c>
      <c r="H128" s="18" t="n">
        <v>19.8</v>
      </c>
      <c r="I128" s="20" t="n">
        <f aca="false">D128/C128</f>
        <v>0.180212628545879</v>
      </c>
      <c r="J128" s="20" t="n">
        <f aca="false">E128/C128</f>
        <v>0.0205921804361866</v>
      </c>
      <c r="K128" s="20" t="n">
        <f aca="false">I128-J128</f>
        <v>0.159620448109692</v>
      </c>
    </row>
    <row r="129" customFormat="false" ht="15" hidden="false" customHeight="false" outlineLevel="0" collapsed="false">
      <c r="A129" s="12" t="s">
        <v>340</v>
      </c>
      <c r="B129" s="12" t="s">
        <v>341</v>
      </c>
      <c r="C129" s="18" t="n">
        <v>2147.1</v>
      </c>
      <c r="D129" s="18" t="n">
        <v>422.1</v>
      </c>
      <c r="E129" s="18" t="n">
        <v>12.62</v>
      </c>
      <c r="F129" s="23" t="n">
        <v>0.0488</v>
      </c>
      <c r="G129" s="17" t="n">
        <v>255</v>
      </c>
      <c r="H129" s="18" t="n">
        <v>38.5</v>
      </c>
      <c r="I129" s="20" t="n">
        <f aca="false">D129/C129</f>
        <v>0.196590750314378</v>
      </c>
      <c r="J129" s="20" t="n">
        <f aca="false">E129/C129</f>
        <v>0.00587769549625076</v>
      </c>
      <c r="K129" s="20" t="n">
        <f aca="false">I129-J129</f>
        <v>0.190713054818127</v>
      </c>
    </row>
    <row r="130" customFormat="false" ht="15" hidden="false" customHeight="false" outlineLevel="0" collapsed="false">
      <c r="A130" s="12" t="s">
        <v>332</v>
      </c>
      <c r="B130" s="12" t="s">
        <v>342</v>
      </c>
      <c r="C130" s="18" t="n">
        <v>11562.95</v>
      </c>
      <c r="D130" s="18" t="n">
        <v>1614.68</v>
      </c>
      <c r="E130" s="18" t="n">
        <v>857.81</v>
      </c>
      <c r="F130" s="23" t="n">
        <v>0.055</v>
      </c>
      <c r="G130" s="17" t="n">
        <v>220</v>
      </c>
      <c r="H130" s="18" t="n">
        <v>1.6</v>
      </c>
      <c r="I130" s="20" t="n">
        <f aca="false">D130/C130</f>
        <v>0.139642565262325</v>
      </c>
      <c r="J130" s="20" t="n">
        <f aca="false">E130/C130</f>
        <v>0.0741860857307175</v>
      </c>
      <c r="K130" s="20" t="n">
        <f aca="false">I130-J130</f>
        <v>0.0654564795316074</v>
      </c>
    </row>
    <row r="131" customFormat="false" ht="15" hidden="false" customHeight="false" outlineLevel="0" collapsed="false">
      <c r="A131" s="12" t="s">
        <v>334</v>
      </c>
      <c r="B131" s="12" t="s">
        <v>342</v>
      </c>
      <c r="C131" s="18" t="n">
        <v>10202.6</v>
      </c>
      <c r="D131" s="18" t="n">
        <v>1592.33</v>
      </c>
      <c r="E131" s="18" t="n">
        <v>393.59</v>
      </c>
      <c r="F131" s="23" t="n">
        <v>0.0466</v>
      </c>
      <c r="G131" s="17" t="n">
        <v>260</v>
      </c>
      <c r="H131" s="18" t="n">
        <v>3.2</v>
      </c>
      <c r="I131" s="20" t="n">
        <f aca="false">D131/C131</f>
        <v>0.156071001509419</v>
      </c>
      <c r="J131" s="20" t="n">
        <f aca="false">E131/C131</f>
        <v>0.0385774214415933</v>
      </c>
      <c r="K131" s="20" t="n">
        <f aca="false">I131-J131</f>
        <v>0.117493580067826</v>
      </c>
    </row>
    <row r="132" customFormat="false" ht="15" hidden="false" customHeight="false" outlineLevel="0" collapsed="false">
      <c r="A132" s="12" t="s">
        <v>335</v>
      </c>
      <c r="B132" s="12" t="s">
        <v>342</v>
      </c>
      <c r="C132" s="18" t="n">
        <v>9522.43</v>
      </c>
      <c r="D132" s="18" t="n">
        <v>1329.74</v>
      </c>
      <c r="E132" s="18" t="n">
        <v>56.51</v>
      </c>
      <c r="F132" s="23" t="n">
        <v>0.0339</v>
      </c>
      <c r="G132" s="17" t="n">
        <v>380</v>
      </c>
      <c r="H132" s="18" t="n">
        <v>12</v>
      </c>
      <c r="I132" s="20" t="n">
        <f aca="false">D132/C132</f>
        <v>0.139642927278016</v>
      </c>
      <c r="J132" s="20" t="n">
        <f aca="false">E132/C132</f>
        <v>0.00593440959923045</v>
      </c>
      <c r="K132" s="20" t="n">
        <f aca="false">I132-J132</f>
        <v>0.133708517678786</v>
      </c>
    </row>
    <row r="133" customFormat="false" ht="15" hidden="false" customHeight="false" outlineLevel="0" collapsed="false">
      <c r="A133" s="12" t="s">
        <v>336</v>
      </c>
      <c r="B133" s="12" t="s">
        <v>342</v>
      </c>
      <c r="C133" s="18" t="n">
        <v>10882.77</v>
      </c>
      <c r="D133" s="18" t="n">
        <v>2002.43</v>
      </c>
      <c r="E133" s="18" t="n">
        <v>80.74</v>
      </c>
      <c r="F133" s="23" t="n">
        <v>0.0381</v>
      </c>
      <c r="G133" s="17" t="n">
        <v>520</v>
      </c>
      <c r="H133" s="18" t="n">
        <v>14</v>
      </c>
      <c r="I133" s="20" t="n">
        <f aca="false">D133/C133</f>
        <v>0.184000029404279</v>
      </c>
      <c r="J133" s="20" t="n">
        <f aca="false">E133/C133</f>
        <v>0.00741906702062067</v>
      </c>
      <c r="K133" s="20" t="n">
        <f aca="false">I133-J133</f>
        <v>0.176580962383658</v>
      </c>
    </row>
    <row r="134" customFormat="false" ht="15" hidden="false" customHeight="false" outlineLevel="0" collapsed="false">
      <c r="A134" s="12" t="s">
        <v>337</v>
      </c>
      <c r="B134" s="12" t="s">
        <v>342</v>
      </c>
      <c r="C134" s="18" t="n">
        <v>8162.08</v>
      </c>
      <c r="D134" s="18" t="n">
        <v>1407.96</v>
      </c>
      <c r="E134" s="18" t="n">
        <v>60.55</v>
      </c>
      <c r="F134" s="23" t="n">
        <v>0.0381</v>
      </c>
      <c r="G134" s="17" t="n">
        <v>450</v>
      </c>
      <c r="H134" s="18" t="n">
        <v>16</v>
      </c>
      <c r="I134" s="20" t="n">
        <f aca="false">D134/C134</f>
        <v>0.172500147021348</v>
      </c>
      <c r="J134" s="20" t="n">
        <f aca="false">E134/C134</f>
        <v>0.00741845215925352</v>
      </c>
      <c r="K134" s="20" t="n">
        <f aca="false">I134-J134</f>
        <v>0.165081694862094</v>
      </c>
    </row>
    <row r="135" customFormat="false" ht="15" hidden="false" customHeight="false" outlineLevel="0" collapsed="false">
      <c r="A135" s="12" t="s">
        <v>338</v>
      </c>
      <c r="B135" s="12" t="s">
        <v>342</v>
      </c>
      <c r="C135" s="18" t="n">
        <v>8162.08</v>
      </c>
      <c r="D135" s="18" t="n">
        <v>1676.14</v>
      </c>
      <c r="E135" s="18" t="n">
        <v>36.33</v>
      </c>
      <c r="F135" s="23" t="n">
        <v>0.0423</v>
      </c>
      <c r="G135" s="17" t="n">
        <v>430</v>
      </c>
      <c r="H135" s="18" t="n">
        <v>22</v>
      </c>
      <c r="I135" s="20" t="n">
        <f aca="false">D135/C135</f>
        <v>0.205356967831729</v>
      </c>
      <c r="J135" s="20" t="n">
        <f aca="false">E135/C135</f>
        <v>0.00445107129555211</v>
      </c>
      <c r="K135" s="20" t="n">
        <f aca="false">I135-J135</f>
        <v>0.200905896536177</v>
      </c>
    </row>
    <row r="136" customFormat="false" ht="15" hidden="false" customHeight="false" outlineLevel="0" collapsed="false">
      <c r="A136" s="12" t="s">
        <v>339</v>
      </c>
      <c r="B136" s="12" t="s">
        <v>342</v>
      </c>
      <c r="C136" s="18" t="n">
        <v>4081.04</v>
      </c>
      <c r="D136" s="18" t="n">
        <v>737.5</v>
      </c>
      <c r="E136" s="18" t="n">
        <v>84.77</v>
      </c>
      <c r="F136" s="23" t="n">
        <v>0.0466</v>
      </c>
      <c r="G136" s="17" t="n">
        <v>160</v>
      </c>
      <c r="H136" s="18" t="n">
        <v>18</v>
      </c>
      <c r="I136" s="20" t="n">
        <f aca="false">D136/C136</f>
        <v>0.180713739634995</v>
      </c>
      <c r="J136" s="20" t="n">
        <f aca="false">E136/C136</f>
        <v>0.0207716660459099</v>
      </c>
      <c r="K136" s="20" t="n">
        <f aca="false">I136-J136</f>
        <v>0.159942073589085</v>
      </c>
    </row>
    <row r="137" customFormat="false" ht="15" hidden="false" customHeight="false" outlineLevel="0" collapsed="false">
      <c r="A137" s="12" t="s">
        <v>340</v>
      </c>
      <c r="B137" s="12" t="s">
        <v>342</v>
      </c>
      <c r="C137" s="18" t="n">
        <v>5441.39</v>
      </c>
      <c r="D137" s="18" t="n">
        <v>1072.72</v>
      </c>
      <c r="E137" s="18" t="n">
        <v>32.3</v>
      </c>
      <c r="F137" s="23" t="n">
        <v>0.055</v>
      </c>
      <c r="G137" s="17" t="n">
        <v>300</v>
      </c>
      <c r="H137" s="18" t="n">
        <v>35</v>
      </c>
      <c r="I137" s="20" t="n">
        <f aca="false">D137/C137</f>
        <v>0.197140804096012</v>
      </c>
      <c r="J137" s="20" t="n">
        <f aca="false">E137/C137</f>
        <v>0.0059359832689809</v>
      </c>
      <c r="K137" s="20" t="n">
        <f aca="false">I137-J137</f>
        <v>0.191204820827031</v>
      </c>
    </row>
    <row r="138" customFormat="false" ht="15" hidden="false" customHeight="false" outlineLevel="0" collapsed="false">
      <c r="A138" s="6" t="s">
        <v>317</v>
      </c>
      <c r="C138" s="21" t="n">
        <f aca="false">SUM(C114:C137)</f>
        <v>110294.85</v>
      </c>
      <c r="D138" s="21" t="n">
        <f aca="false">SUM(D114:D137)</f>
        <v>18500.02</v>
      </c>
      <c r="E138" s="21" t="n">
        <f aca="false">SUM(E114:E137)</f>
        <v>2755.58</v>
      </c>
      <c r="I138" s="22" t="n">
        <f aca="false">D138/C138</f>
        <v>0.167732400923525</v>
      </c>
      <c r="J138" s="22" t="n">
        <f aca="false">E138/C138</f>
        <v>0.0249837594411706</v>
      </c>
      <c r="K138" s="22" t="n">
        <f aca="false">I138-J138</f>
        <v>0.142748641482354</v>
      </c>
    </row>
    <row r="140" customFormat="false" ht="15" hidden="false" customHeight="false" outlineLevel="0" collapsed="false">
      <c r="A140" s="4" t="s">
        <v>343</v>
      </c>
    </row>
    <row r="141" customFormat="false" ht="42" hidden="false" customHeight="true" outlineLevel="0" collapsed="false">
      <c r="A141" s="5" t="s">
        <v>344</v>
      </c>
      <c r="B141" s="5" t="s">
        <v>291</v>
      </c>
      <c r="C141" s="5" t="s">
        <v>345</v>
      </c>
      <c r="D141" s="5" t="s">
        <v>346</v>
      </c>
      <c r="E141" s="5" t="s">
        <v>347</v>
      </c>
      <c r="F141" s="5" t="s">
        <v>348</v>
      </c>
      <c r="G141" s="5" t="s">
        <v>349</v>
      </c>
      <c r="H141" s="5" t="s">
        <v>350</v>
      </c>
      <c r="I141" s="5" t="s">
        <v>351</v>
      </c>
      <c r="J141" s="5" t="s">
        <v>352</v>
      </c>
      <c r="K141" s="5" t="s">
        <v>353</v>
      </c>
      <c r="L141" s="5" t="s">
        <v>354</v>
      </c>
    </row>
    <row r="142" customFormat="false" ht="15" hidden="false" customHeight="false" outlineLevel="0" collapsed="false">
      <c r="A142" s="24" t="s">
        <v>355</v>
      </c>
      <c r="B142" s="24" t="s">
        <v>296</v>
      </c>
      <c r="C142" s="24" t="s">
        <v>294</v>
      </c>
      <c r="D142" s="17" t="n">
        <v>12</v>
      </c>
      <c r="E142" s="18" t="n">
        <v>29.5</v>
      </c>
      <c r="F142" s="24" t="s">
        <v>356</v>
      </c>
      <c r="G142" s="18" t="n">
        <v>1</v>
      </c>
      <c r="H142" s="17" t="n">
        <v>3000</v>
      </c>
      <c r="I142" s="17" t="n">
        <v>157</v>
      </c>
      <c r="J142" s="17" t="n">
        <v>18</v>
      </c>
      <c r="K142" s="17" t="n">
        <v>1080</v>
      </c>
      <c r="L142" s="17" t="n">
        <v>102</v>
      </c>
    </row>
    <row r="143" customFormat="false" ht="15" hidden="false" customHeight="false" outlineLevel="0" collapsed="false">
      <c r="A143" s="24" t="s">
        <v>357</v>
      </c>
      <c r="B143" s="24" t="s">
        <v>296</v>
      </c>
      <c r="C143" s="24" t="s">
        <v>295</v>
      </c>
      <c r="D143" s="17" t="n">
        <v>37</v>
      </c>
      <c r="E143" s="18" t="n">
        <v>38.3</v>
      </c>
      <c r="F143" s="24" t="s">
        <v>358</v>
      </c>
      <c r="G143" s="18" t="n">
        <v>1</v>
      </c>
      <c r="H143" s="17" t="n">
        <v>3000</v>
      </c>
      <c r="I143" s="17" t="n">
        <v>86</v>
      </c>
      <c r="J143" s="17" t="n">
        <v>36</v>
      </c>
      <c r="K143" s="17" t="n">
        <v>1080</v>
      </c>
      <c r="L143" s="17" t="n">
        <v>102</v>
      </c>
    </row>
    <row r="144" customFormat="false" ht="15" hidden="false" customHeight="false" outlineLevel="0" collapsed="false">
      <c r="A144" s="24" t="s">
        <v>359</v>
      </c>
      <c r="B144" s="24" t="s">
        <v>296</v>
      </c>
      <c r="C144" s="24" t="s">
        <v>293</v>
      </c>
      <c r="D144" s="17" t="n">
        <v>23</v>
      </c>
      <c r="E144" s="18" t="n">
        <v>49.3</v>
      </c>
      <c r="F144" s="24" t="s">
        <v>360</v>
      </c>
      <c r="G144" s="18" t="n">
        <v>1.1</v>
      </c>
      <c r="H144" s="17" t="n">
        <v>3500</v>
      </c>
      <c r="I144" s="17" t="n">
        <v>179</v>
      </c>
      <c r="J144" s="17" t="n">
        <v>3</v>
      </c>
      <c r="K144" s="17" t="n">
        <v>1260</v>
      </c>
      <c r="L144" s="17" t="n">
        <v>119</v>
      </c>
    </row>
    <row r="145" customFormat="false" ht="15" hidden="false" customHeight="false" outlineLevel="0" collapsed="false">
      <c r="A145" s="24" t="s">
        <v>361</v>
      </c>
      <c r="B145" s="24" t="s">
        <v>296</v>
      </c>
      <c r="C145" s="24" t="s">
        <v>295</v>
      </c>
      <c r="D145" s="17" t="n">
        <v>17</v>
      </c>
      <c r="E145" s="18" t="n">
        <v>61.4</v>
      </c>
      <c r="F145" s="24" t="s">
        <v>362</v>
      </c>
      <c r="G145" s="18" t="n">
        <v>1.2</v>
      </c>
      <c r="H145" s="17" t="n">
        <v>3500</v>
      </c>
      <c r="I145" s="17" t="n">
        <v>96</v>
      </c>
      <c r="J145" s="17" t="n">
        <v>18</v>
      </c>
      <c r="K145" s="17" t="n">
        <v>1260</v>
      </c>
      <c r="L145" s="17" t="n">
        <v>119</v>
      </c>
    </row>
    <row r="146" customFormat="false" ht="15" hidden="false" customHeight="false" outlineLevel="0" collapsed="false">
      <c r="A146" s="24" t="s">
        <v>363</v>
      </c>
      <c r="B146" s="24" t="s">
        <v>296</v>
      </c>
      <c r="C146" s="24" t="s">
        <v>293</v>
      </c>
      <c r="D146" s="17" t="n">
        <v>33</v>
      </c>
      <c r="E146" s="18" t="n">
        <v>42.5</v>
      </c>
      <c r="F146" s="24" t="s">
        <v>364</v>
      </c>
      <c r="G146" s="18" t="n">
        <v>2.1</v>
      </c>
      <c r="H146" s="17" t="n">
        <v>5500</v>
      </c>
      <c r="I146" s="17" t="n">
        <v>192</v>
      </c>
      <c r="J146" s="17" t="n">
        <v>0</v>
      </c>
      <c r="K146" s="17" t="n">
        <v>1980</v>
      </c>
      <c r="L146" s="17" t="n">
        <v>187</v>
      </c>
    </row>
    <row r="147" customFormat="false" ht="15" hidden="false" customHeight="false" outlineLevel="0" collapsed="false">
      <c r="A147" s="24" t="s">
        <v>364</v>
      </c>
      <c r="B147" s="24" t="s">
        <v>296</v>
      </c>
      <c r="C147" s="24" t="s">
        <v>293</v>
      </c>
      <c r="D147" s="17" t="n">
        <v>31</v>
      </c>
      <c r="E147" s="18" t="n">
        <v>66.5</v>
      </c>
      <c r="F147" s="24" t="s">
        <v>363</v>
      </c>
      <c r="G147" s="18" t="n">
        <v>2.1</v>
      </c>
      <c r="H147" s="17" t="n">
        <v>4500</v>
      </c>
      <c r="I147" s="17" t="n">
        <v>191</v>
      </c>
      <c r="J147" s="17" t="n">
        <v>9</v>
      </c>
      <c r="K147" s="17" t="n">
        <v>1620</v>
      </c>
      <c r="L147" s="17" t="n">
        <v>153</v>
      </c>
    </row>
    <row r="148" customFormat="false" ht="15" hidden="false" customHeight="false" outlineLevel="0" collapsed="false">
      <c r="A148" s="24" t="s">
        <v>365</v>
      </c>
      <c r="B148" s="24" t="s">
        <v>296</v>
      </c>
      <c r="C148" s="24" t="s">
        <v>293</v>
      </c>
      <c r="D148" s="17" t="n">
        <v>5</v>
      </c>
      <c r="E148" s="18" t="n">
        <v>22</v>
      </c>
      <c r="F148" s="24" t="s">
        <v>366</v>
      </c>
      <c r="G148" s="18" t="n">
        <v>3.4</v>
      </c>
      <c r="H148" s="17" t="n">
        <v>4500</v>
      </c>
      <c r="I148" s="17" t="n">
        <v>179</v>
      </c>
      <c r="J148" s="17" t="n">
        <v>18</v>
      </c>
      <c r="K148" s="17" t="n">
        <v>1620</v>
      </c>
      <c r="L148" s="17" t="n">
        <v>153</v>
      </c>
    </row>
    <row r="149" customFormat="false" ht="15" hidden="false" customHeight="false" outlineLevel="0" collapsed="false">
      <c r="A149" s="24" t="s">
        <v>358</v>
      </c>
      <c r="B149" s="24" t="s">
        <v>296</v>
      </c>
      <c r="C149" s="24" t="s">
        <v>292</v>
      </c>
      <c r="D149" s="17" t="n">
        <v>21</v>
      </c>
      <c r="E149" s="18" t="n">
        <v>35.9</v>
      </c>
      <c r="F149" s="24" t="s">
        <v>357</v>
      </c>
      <c r="G149" s="18" t="n">
        <v>1</v>
      </c>
      <c r="H149" s="17" t="n">
        <v>4000</v>
      </c>
      <c r="I149" s="17" t="n">
        <v>136</v>
      </c>
      <c r="J149" s="17" t="n">
        <v>6</v>
      </c>
      <c r="K149" s="17" t="n">
        <v>1440</v>
      </c>
      <c r="L149" s="17" t="n">
        <v>136</v>
      </c>
    </row>
    <row r="150" customFormat="false" ht="15" hidden="false" customHeight="false" outlineLevel="0" collapsed="false">
      <c r="A150" s="24" t="s">
        <v>367</v>
      </c>
      <c r="B150" s="24" t="s">
        <v>296</v>
      </c>
      <c r="C150" s="24" t="s">
        <v>292</v>
      </c>
      <c r="D150" s="17" t="n">
        <v>41</v>
      </c>
      <c r="E150" s="18" t="n">
        <v>37.6</v>
      </c>
      <c r="F150" s="24" t="s">
        <v>368</v>
      </c>
      <c r="G150" s="18" t="n">
        <v>3</v>
      </c>
      <c r="H150" s="17" t="n">
        <v>4000</v>
      </c>
      <c r="I150" s="17" t="n">
        <v>164</v>
      </c>
      <c r="J150" s="17" t="n">
        <v>9</v>
      </c>
      <c r="K150" s="17" t="n">
        <v>1440</v>
      </c>
      <c r="L150" s="17" t="n">
        <v>136</v>
      </c>
    </row>
    <row r="151" customFormat="false" ht="15" hidden="false" customHeight="false" outlineLevel="0" collapsed="false">
      <c r="A151" s="24" t="s">
        <v>366</v>
      </c>
      <c r="B151" s="24" t="s">
        <v>296</v>
      </c>
      <c r="C151" s="24" t="s">
        <v>292</v>
      </c>
      <c r="D151" s="17" t="n">
        <v>24</v>
      </c>
      <c r="E151" s="18" t="n">
        <v>51.5</v>
      </c>
      <c r="F151" s="24" t="s">
        <v>365</v>
      </c>
      <c r="G151" s="18" t="n">
        <v>3.4</v>
      </c>
      <c r="H151" s="17" t="n">
        <v>4500</v>
      </c>
      <c r="I151" s="17" t="n">
        <v>122</v>
      </c>
      <c r="J151" s="17" t="n">
        <v>9</v>
      </c>
      <c r="K151" s="17" t="n">
        <v>1620</v>
      </c>
      <c r="L151" s="17" t="n">
        <v>153</v>
      </c>
    </row>
    <row r="152" customFormat="false" ht="15" hidden="false" customHeight="false" outlineLevel="0" collapsed="false">
      <c r="A152" s="24" t="s">
        <v>356</v>
      </c>
      <c r="B152" s="24" t="s">
        <v>296</v>
      </c>
      <c r="C152" s="24" t="s">
        <v>295</v>
      </c>
      <c r="D152" s="17" t="n">
        <v>48</v>
      </c>
      <c r="E152" s="18" t="n">
        <v>57.5</v>
      </c>
      <c r="F152" s="24" t="s">
        <v>355</v>
      </c>
      <c r="G152" s="18" t="n">
        <v>1</v>
      </c>
      <c r="H152" s="17" t="n">
        <v>4500</v>
      </c>
      <c r="I152" s="17" t="n">
        <v>81</v>
      </c>
      <c r="J152" s="17" t="n">
        <v>6</v>
      </c>
      <c r="K152" s="17" t="n">
        <v>1620</v>
      </c>
      <c r="L152" s="17" t="n">
        <v>153</v>
      </c>
    </row>
    <row r="153" customFormat="false" ht="15" hidden="false" customHeight="false" outlineLevel="0" collapsed="false">
      <c r="A153" s="24" t="s">
        <v>362</v>
      </c>
      <c r="B153" s="24" t="s">
        <v>296</v>
      </c>
      <c r="C153" s="24" t="s">
        <v>293</v>
      </c>
      <c r="D153" s="17" t="n">
        <v>41</v>
      </c>
      <c r="E153" s="18" t="n">
        <v>51.6</v>
      </c>
      <c r="F153" s="24" t="s">
        <v>361</v>
      </c>
      <c r="G153" s="18" t="n">
        <v>1.2</v>
      </c>
      <c r="H153" s="17" t="n">
        <v>3500</v>
      </c>
      <c r="I153" s="17" t="n">
        <v>136</v>
      </c>
      <c r="J153" s="17" t="n">
        <v>36</v>
      </c>
      <c r="K153" s="17" t="n">
        <v>1260</v>
      </c>
      <c r="L153" s="17" t="n">
        <v>119</v>
      </c>
    </row>
    <row r="154" customFormat="false" ht="15" hidden="false" customHeight="false" outlineLevel="0" collapsed="false">
      <c r="A154" s="24" t="s">
        <v>360</v>
      </c>
      <c r="B154" s="24" t="s">
        <v>296</v>
      </c>
      <c r="C154" s="24" t="s">
        <v>294</v>
      </c>
      <c r="D154" s="17" t="n">
        <v>16</v>
      </c>
      <c r="E154" s="18" t="n">
        <v>46</v>
      </c>
      <c r="F154" s="24" t="s">
        <v>359</v>
      </c>
      <c r="G154" s="18" t="n">
        <v>1.1</v>
      </c>
      <c r="H154" s="17" t="n">
        <v>4000</v>
      </c>
      <c r="I154" s="17" t="n">
        <v>160</v>
      </c>
      <c r="J154" s="17" t="n">
        <v>24</v>
      </c>
      <c r="K154" s="17" t="n">
        <v>1440</v>
      </c>
      <c r="L154" s="17" t="n">
        <v>136</v>
      </c>
    </row>
    <row r="155" customFormat="false" ht="15" hidden="false" customHeight="false" outlineLevel="0" collapsed="false">
      <c r="A155" s="24" t="s">
        <v>368</v>
      </c>
      <c r="B155" s="24" t="s">
        <v>296</v>
      </c>
      <c r="C155" s="24" t="s">
        <v>293</v>
      </c>
      <c r="D155" s="17" t="n">
        <v>18</v>
      </c>
      <c r="E155" s="18" t="n">
        <v>34.9</v>
      </c>
      <c r="F155" s="24" t="s">
        <v>367</v>
      </c>
      <c r="G155" s="18" t="n">
        <v>3</v>
      </c>
      <c r="H155" s="17" t="n">
        <v>4000</v>
      </c>
      <c r="I155" s="17" t="n">
        <v>144</v>
      </c>
      <c r="J155" s="17" t="n">
        <v>3</v>
      </c>
      <c r="K155" s="17" t="n">
        <v>1440</v>
      </c>
      <c r="L155" s="17" t="n">
        <v>136</v>
      </c>
    </row>
    <row r="156" customFormat="false" ht="15" hidden="false" customHeight="false" outlineLevel="0" collapsed="false">
      <c r="A156" s="24" t="s">
        <v>369</v>
      </c>
      <c r="B156" s="24" t="s">
        <v>297</v>
      </c>
      <c r="C156" s="24" t="s">
        <v>295</v>
      </c>
      <c r="D156" s="17" t="n">
        <v>7</v>
      </c>
      <c r="E156" s="18" t="n">
        <v>31.2</v>
      </c>
      <c r="F156" s="24" t="s">
        <v>370</v>
      </c>
      <c r="G156" s="18" t="n">
        <v>2.7</v>
      </c>
      <c r="H156" s="17" t="n">
        <v>4000</v>
      </c>
      <c r="I156" s="17" t="n">
        <v>143</v>
      </c>
      <c r="J156" s="17" t="n">
        <v>24</v>
      </c>
      <c r="K156" s="17" t="n">
        <v>1440</v>
      </c>
      <c r="L156" s="17" t="n">
        <v>136</v>
      </c>
    </row>
    <row r="157" customFormat="false" ht="15" hidden="false" customHeight="false" outlineLevel="0" collapsed="false">
      <c r="A157" s="24" t="s">
        <v>371</v>
      </c>
      <c r="B157" s="24" t="s">
        <v>297</v>
      </c>
      <c r="C157" s="24" t="s">
        <v>293</v>
      </c>
      <c r="D157" s="17" t="n">
        <v>14</v>
      </c>
      <c r="E157" s="18" t="n">
        <v>32.2</v>
      </c>
      <c r="F157" s="24" t="s">
        <v>372</v>
      </c>
      <c r="G157" s="18" t="n">
        <v>2</v>
      </c>
      <c r="H157" s="17" t="n">
        <v>5000</v>
      </c>
      <c r="I157" s="17" t="n">
        <v>286</v>
      </c>
      <c r="J157" s="17" t="n">
        <v>18</v>
      </c>
      <c r="K157" s="17" t="n">
        <v>1800</v>
      </c>
      <c r="L157" s="17" t="n">
        <v>170</v>
      </c>
    </row>
    <row r="158" customFormat="false" ht="15" hidden="false" customHeight="false" outlineLevel="0" collapsed="false">
      <c r="A158" s="24" t="s">
        <v>373</v>
      </c>
      <c r="B158" s="24" t="s">
        <v>297</v>
      </c>
      <c r="C158" s="24" t="s">
        <v>293</v>
      </c>
      <c r="D158" s="17" t="n">
        <v>17</v>
      </c>
      <c r="E158" s="18" t="n">
        <v>41.7</v>
      </c>
      <c r="F158" s="24" t="s">
        <v>374</v>
      </c>
      <c r="G158" s="18" t="n">
        <v>2.4</v>
      </c>
      <c r="H158" s="17" t="n">
        <v>4500</v>
      </c>
      <c r="I158" s="17" t="n">
        <v>187</v>
      </c>
      <c r="J158" s="17" t="n">
        <v>24</v>
      </c>
      <c r="K158" s="17" t="n">
        <v>1620</v>
      </c>
      <c r="L158" s="17" t="n">
        <v>153</v>
      </c>
    </row>
    <row r="159" customFormat="false" ht="15" hidden="false" customHeight="false" outlineLevel="0" collapsed="false">
      <c r="A159" s="24" t="s">
        <v>375</v>
      </c>
      <c r="B159" s="24" t="s">
        <v>297</v>
      </c>
      <c r="C159" s="24" t="s">
        <v>293</v>
      </c>
      <c r="D159" s="17" t="n">
        <v>48</v>
      </c>
      <c r="E159" s="18" t="n">
        <v>27</v>
      </c>
      <c r="F159" s="24" t="s">
        <v>376</v>
      </c>
      <c r="G159" s="18" t="n">
        <v>1.6</v>
      </c>
      <c r="H159" s="17" t="n">
        <v>3000</v>
      </c>
      <c r="I159" s="17" t="n">
        <v>220</v>
      </c>
      <c r="J159" s="17" t="n">
        <v>12</v>
      </c>
      <c r="K159" s="17" t="n">
        <v>1080</v>
      </c>
      <c r="L159" s="17" t="n">
        <v>102</v>
      </c>
    </row>
    <row r="160" customFormat="false" ht="15" hidden="false" customHeight="false" outlineLevel="0" collapsed="false">
      <c r="A160" s="24" t="s">
        <v>374</v>
      </c>
      <c r="B160" s="24" t="s">
        <v>297</v>
      </c>
      <c r="C160" s="24" t="s">
        <v>292</v>
      </c>
      <c r="D160" s="17" t="n">
        <v>28</v>
      </c>
      <c r="E160" s="18" t="n">
        <v>22.4</v>
      </c>
      <c r="F160" s="24" t="s">
        <v>373</v>
      </c>
      <c r="G160" s="18" t="n">
        <v>2.4</v>
      </c>
      <c r="H160" s="17" t="n">
        <v>5500</v>
      </c>
      <c r="I160" s="17" t="n">
        <v>243</v>
      </c>
      <c r="J160" s="17" t="n">
        <v>12</v>
      </c>
      <c r="K160" s="17" t="n">
        <v>1980</v>
      </c>
      <c r="L160" s="17" t="n">
        <v>187</v>
      </c>
    </row>
    <row r="161" customFormat="false" ht="15" hidden="false" customHeight="false" outlineLevel="0" collapsed="false">
      <c r="A161" s="24" t="s">
        <v>376</v>
      </c>
      <c r="B161" s="24" t="s">
        <v>297</v>
      </c>
      <c r="C161" s="24" t="s">
        <v>293</v>
      </c>
      <c r="D161" s="17" t="n">
        <v>19</v>
      </c>
      <c r="E161" s="18" t="n">
        <v>23.5</v>
      </c>
      <c r="F161" s="24" t="s">
        <v>375</v>
      </c>
      <c r="G161" s="18" t="n">
        <v>1.6</v>
      </c>
      <c r="H161" s="17" t="n">
        <v>5000</v>
      </c>
      <c r="I161" s="17" t="n">
        <v>191</v>
      </c>
      <c r="J161" s="17" t="n">
        <v>0</v>
      </c>
      <c r="K161" s="17" t="n">
        <v>1800</v>
      </c>
      <c r="L161" s="17" t="n">
        <v>170</v>
      </c>
    </row>
    <row r="162" customFormat="false" ht="15" hidden="false" customHeight="false" outlineLevel="0" collapsed="false">
      <c r="A162" s="24" t="s">
        <v>377</v>
      </c>
      <c r="B162" s="24" t="s">
        <v>297</v>
      </c>
      <c r="C162" s="24" t="s">
        <v>292</v>
      </c>
      <c r="D162" s="17" t="n">
        <v>21</v>
      </c>
      <c r="E162" s="18" t="n">
        <v>44.2</v>
      </c>
      <c r="F162" s="24" t="s">
        <v>378</v>
      </c>
      <c r="G162" s="18" t="n">
        <v>3.4</v>
      </c>
      <c r="H162" s="17" t="n">
        <v>4500</v>
      </c>
      <c r="I162" s="17" t="n">
        <v>187</v>
      </c>
      <c r="J162" s="17" t="n">
        <v>9</v>
      </c>
      <c r="K162" s="17" t="n">
        <v>1620</v>
      </c>
      <c r="L162" s="17" t="n">
        <v>153</v>
      </c>
    </row>
    <row r="163" customFormat="false" ht="15" hidden="false" customHeight="false" outlineLevel="0" collapsed="false">
      <c r="A163" s="24" t="s">
        <v>372</v>
      </c>
      <c r="B163" s="24" t="s">
        <v>297</v>
      </c>
      <c r="C163" s="24" t="s">
        <v>292</v>
      </c>
      <c r="D163" s="17" t="n">
        <v>12</v>
      </c>
      <c r="E163" s="18" t="n">
        <v>24</v>
      </c>
      <c r="F163" s="24" t="s">
        <v>371</v>
      </c>
      <c r="G163" s="18" t="n">
        <v>2</v>
      </c>
      <c r="H163" s="17" t="n">
        <v>3500</v>
      </c>
      <c r="I163" s="17" t="n">
        <v>227</v>
      </c>
      <c r="J163" s="17" t="n">
        <v>36</v>
      </c>
      <c r="K163" s="17" t="n">
        <v>1260</v>
      </c>
      <c r="L163" s="17" t="n">
        <v>119</v>
      </c>
    </row>
    <row r="164" customFormat="false" ht="15" hidden="false" customHeight="false" outlineLevel="0" collapsed="false">
      <c r="A164" s="24" t="s">
        <v>379</v>
      </c>
      <c r="B164" s="24" t="s">
        <v>297</v>
      </c>
      <c r="C164" s="24" t="s">
        <v>292</v>
      </c>
      <c r="D164" s="17" t="n">
        <v>15</v>
      </c>
      <c r="E164" s="18" t="n">
        <v>41.3</v>
      </c>
      <c r="F164" s="24" t="s">
        <v>380</v>
      </c>
      <c r="G164" s="18" t="n">
        <v>2.4</v>
      </c>
      <c r="H164" s="17" t="n">
        <v>3500</v>
      </c>
      <c r="I164" s="17" t="n">
        <v>173</v>
      </c>
      <c r="J164" s="17" t="n">
        <v>18</v>
      </c>
      <c r="K164" s="17" t="n">
        <v>1260</v>
      </c>
      <c r="L164" s="17" t="n">
        <v>119</v>
      </c>
    </row>
    <row r="165" customFormat="false" ht="15" hidden="false" customHeight="false" outlineLevel="0" collapsed="false">
      <c r="A165" s="24" t="s">
        <v>378</v>
      </c>
      <c r="B165" s="24" t="s">
        <v>297</v>
      </c>
      <c r="C165" s="24" t="s">
        <v>292</v>
      </c>
      <c r="D165" s="17" t="n">
        <v>28</v>
      </c>
      <c r="E165" s="18" t="n">
        <v>30.9</v>
      </c>
      <c r="F165" s="24" t="s">
        <v>377</v>
      </c>
      <c r="G165" s="18" t="n">
        <v>3.4</v>
      </c>
      <c r="H165" s="17" t="n">
        <v>5000</v>
      </c>
      <c r="I165" s="17" t="n">
        <v>204</v>
      </c>
      <c r="J165" s="17" t="n">
        <v>36</v>
      </c>
      <c r="K165" s="17" t="n">
        <v>1800</v>
      </c>
      <c r="L165" s="17" t="n">
        <v>170</v>
      </c>
    </row>
    <row r="166" customFormat="false" ht="15" hidden="false" customHeight="false" outlineLevel="0" collapsed="false">
      <c r="A166" s="24" t="s">
        <v>380</v>
      </c>
      <c r="B166" s="24" t="s">
        <v>297</v>
      </c>
      <c r="C166" s="24" t="s">
        <v>294</v>
      </c>
      <c r="D166" s="17" t="n">
        <v>22</v>
      </c>
      <c r="E166" s="18" t="n">
        <v>51.3</v>
      </c>
      <c r="F166" s="24" t="s">
        <v>379</v>
      </c>
      <c r="G166" s="18" t="n">
        <v>2.4</v>
      </c>
      <c r="H166" s="17" t="n">
        <v>4000</v>
      </c>
      <c r="I166" s="17" t="n">
        <v>318</v>
      </c>
      <c r="J166" s="17" t="n">
        <v>12</v>
      </c>
      <c r="K166" s="17" t="n">
        <v>1440</v>
      </c>
      <c r="L166" s="17" t="n">
        <v>136</v>
      </c>
    </row>
    <row r="167" customFormat="false" ht="15" hidden="false" customHeight="false" outlineLevel="0" collapsed="false">
      <c r="A167" s="24" t="s">
        <v>370</v>
      </c>
      <c r="B167" s="24" t="s">
        <v>297</v>
      </c>
      <c r="C167" s="24" t="s">
        <v>293</v>
      </c>
      <c r="D167" s="17" t="n">
        <v>18</v>
      </c>
      <c r="E167" s="18" t="n">
        <v>26.7</v>
      </c>
      <c r="F167" s="24" t="s">
        <v>369</v>
      </c>
      <c r="G167" s="18" t="n">
        <v>2.7</v>
      </c>
      <c r="H167" s="17" t="n">
        <v>4500</v>
      </c>
      <c r="I167" s="17" t="n">
        <v>271</v>
      </c>
      <c r="J167" s="17" t="n">
        <v>18</v>
      </c>
      <c r="K167" s="17" t="n">
        <v>1620</v>
      </c>
      <c r="L167" s="17" t="n">
        <v>153</v>
      </c>
    </row>
    <row r="168" customFormat="false" ht="15" hidden="false" customHeight="false" outlineLevel="0" collapsed="false">
      <c r="A168" s="24" t="s">
        <v>381</v>
      </c>
      <c r="B168" s="24" t="s">
        <v>298</v>
      </c>
      <c r="C168" s="24" t="s">
        <v>294</v>
      </c>
      <c r="D168" s="17" t="n">
        <v>8</v>
      </c>
      <c r="E168" s="18" t="n">
        <v>24.9</v>
      </c>
      <c r="F168" s="24" t="s">
        <v>382</v>
      </c>
      <c r="G168" s="18" t="n">
        <v>1.8</v>
      </c>
      <c r="H168" s="17" t="n">
        <v>4000</v>
      </c>
      <c r="I168" s="17" t="n">
        <v>199</v>
      </c>
      <c r="J168" s="17" t="n">
        <v>18</v>
      </c>
      <c r="K168" s="17" t="n">
        <v>1440</v>
      </c>
      <c r="L168" s="17" t="n">
        <v>136</v>
      </c>
    </row>
    <row r="169" customFormat="false" ht="15" hidden="false" customHeight="false" outlineLevel="0" collapsed="false">
      <c r="A169" s="24" t="s">
        <v>383</v>
      </c>
      <c r="B169" s="24" t="s">
        <v>298</v>
      </c>
      <c r="C169" s="24" t="s">
        <v>292</v>
      </c>
      <c r="D169" s="17" t="n">
        <v>27</v>
      </c>
      <c r="E169" s="18" t="n">
        <v>28.4</v>
      </c>
      <c r="F169" s="24" t="s">
        <v>384</v>
      </c>
      <c r="G169" s="18" t="n">
        <v>1.5</v>
      </c>
      <c r="H169" s="17" t="n">
        <v>3500</v>
      </c>
      <c r="I169" s="17" t="n">
        <v>157</v>
      </c>
      <c r="J169" s="17" t="n">
        <v>12</v>
      </c>
      <c r="K169" s="17" t="n">
        <v>1260</v>
      </c>
      <c r="L169" s="17" t="n">
        <v>119</v>
      </c>
    </row>
    <row r="170" customFormat="false" ht="15" hidden="false" customHeight="false" outlineLevel="0" collapsed="false">
      <c r="A170" s="24" t="s">
        <v>385</v>
      </c>
      <c r="B170" s="24" t="s">
        <v>298</v>
      </c>
      <c r="C170" s="24" t="s">
        <v>295</v>
      </c>
      <c r="D170" s="17" t="n">
        <v>15</v>
      </c>
      <c r="E170" s="18" t="n">
        <v>34.4</v>
      </c>
      <c r="F170" s="24" t="s">
        <v>386</v>
      </c>
      <c r="G170" s="18" t="n">
        <v>3.5</v>
      </c>
      <c r="H170" s="17" t="n">
        <v>4500</v>
      </c>
      <c r="I170" s="17" t="n">
        <v>97</v>
      </c>
      <c r="J170" s="17" t="n">
        <v>36</v>
      </c>
      <c r="K170" s="17" t="n">
        <v>1620</v>
      </c>
      <c r="L170" s="17" t="n">
        <v>153</v>
      </c>
    </row>
    <row r="171" customFormat="false" ht="15" hidden="false" customHeight="false" outlineLevel="0" collapsed="false">
      <c r="A171" s="24" t="s">
        <v>382</v>
      </c>
      <c r="B171" s="24" t="s">
        <v>298</v>
      </c>
      <c r="C171" s="24" t="s">
        <v>293</v>
      </c>
      <c r="D171" s="17" t="n">
        <v>4</v>
      </c>
      <c r="E171" s="18" t="n">
        <v>22.7</v>
      </c>
      <c r="F171" s="24" t="s">
        <v>381</v>
      </c>
      <c r="G171" s="18" t="n">
        <v>1.8</v>
      </c>
      <c r="H171" s="17" t="n">
        <v>5000</v>
      </c>
      <c r="I171" s="17" t="n">
        <v>143</v>
      </c>
      <c r="J171" s="17" t="n">
        <v>24</v>
      </c>
      <c r="K171" s="17" t="n">
        <v>1800</v>
      </c>
      <c r="L171" s="17" t="n">
        <v>170</v>
      </c>
    </row>
    <row r="172" customFormat="false" ht="15" hidden="false" customHeight="false" outlineLevel="0" collapsed="false">
      <c r="A172" s="24" t="s">
        <v>387</v>
      </c>
      <c r="B172" s="24" t="s">
        <v>298</v>
      </c>
      <c r="C172" s="24" t="s">
        <v>293</v>
      </c>
      <c r="D172" s="17" t="n">
        <v>44</v>
      </c>
      <c r="E172" s="18" t="n">
        <v>42.2</v>
      </c>
      <c r="F172" s="24" t="s">
        <v>388</v>
      </c>
      <c r="G172" s="18" t="n">
        <v>3.3</v>
      </c>
      <c r="H172" s="17" t="n">
        <v>3500</v>
      </c>
      <c r="I172" s="17" t="n">
        <v>174</v>
      </c>
      <c r="J172" s="17" t="n">
        <v>18</v>
      </c>
      <c r="K172" s="17" t="n">
        <v>1260</v>
      </c>
      <c r="L172" s="17" t="n">
        <v>119</v>
      </c>
    </row>
    <row r="173" customFormat="false" ht="15" hidden="false" customHeight="false" outlineLevel="0" collapsed="false">
      <c r="A173" s="24" t="s">
        <v>384</v>
      </c>
      <c r="B173" s="24" t="s">
        <v>298</v>
      </c>
      <c r="C173" s="24" t="s">
        <v>292</v>
      </c>
      <c r="D173" s="17" t="n">
        <v>31</v>
      </c>
      <c r="E173" s="18" t="n">
        <v>37.1</v>
      </c>
      <c r="F173" s="24" t="s">
        <v>383</v>
      </c>
      <c r="G173" s="18" t="n">
        <v>1.5</v>
      </c>
      <c r="H173" s="17" t="n">
        <v>5000</v>
      </c>
      <c r="I173" s="17" t="n">
        <v>174</v>
      </c>
      <c r="J173" s="17" t="n">
        <v>9</v>
      </c>
      <c r="K173" s="17" t="n">
        <v>1800</v>
      </c>
      <c r="L173" s="17" t="n">
        <v>170</v>
      </c>
    </row>
    <row r="174" customFormat="false" ht="15" hidden="false" customHeight="false" outlineLevel="0" collapsed="false">
      <c r="A174" s="24" t="s">
        <v>389</v>
      </c>
      <c r="B174" s="24" t="s">
        <v>298</v>
      </c>
      <c r="C174" s="24" t="s">
        <v>292</v>
      </c>
      <c r="D174" s="17" t="n">
        <v>40</v>
      </c>
      <c r="E174" s="18" t="n">
        <v>24</v>
      </c>
      <c r="F174" s="24" t="s">
        <v>390</v>
      </c>
      <c r="G174" s="18" t="n">
        <v>2.9</v>
      </c>
      <c r="H174" s="17" t="n">
        <v>4500</v>
      </c>
      <c r="I174" s="17" t="n">
        <v>102</v>
      </c>
      <c r="J174" s="17" t="n">
        <v>12</v>
      </c>
      <c r="K174" s="17" t="n">
        <v>1620</v>
      </c>
      <c r="L174" s="17" t="n">
        <v>153</v>
      </c>
    </row>
    <row r="175" customFormat="false" ht="15" hidden="false" customHeight="false" outlineLevel="0" collapsed="false">
      <c r="A175" s="24" t="s">
        <v>388</v>
      </c>
      <c r="B175" s="24" t="s">
        <v>298</v>
      </c>
      <c r="C175" s="24" t="s">
        <v>295</v>
      </c>
      <c r="D175" s="17" t="n">
        <v>48</v>
      </c>
      <c r="E175" s="18" t="n">
        <v>49.3</v>
      </c>
      <c r="F175" s="24" t="s">
        <v>387</v>
      </c>
      <c r="G175" s="18" t="n">
        <v>3.3</v>
      </c>
      <c r="H175" s="17" t="n">
        <v>4500</v>
      </c>
      <c r="I175" s="17" t="n">
        <v>123</v>
      </c>
      <c r="J175" s="17" t="n">
        <v>6</v>
      </c>
      <c r="K175" s="17" t="n">
        <v>1620</v>
      </c>
      <c r="L175" s="17" t="n">
        <v>153</v>
      </c>
    </row>
    <row r="176" customFormat="false" ht="15" hidden="false" customHeight="false" outlineLevel="0" collapsed="false">
      <c r="A176" s="24" t="s">
        <v>391</v>
      </c>
      <c r="B176" s="24" t="s">
        <v>298</v>
      </c>
      <c r="C176" s="24" t="s">
        <v>292</v>
      </c>
      <c r="D176" s="17" t="n">
        <v>15</v>
      </c>
      <c r="E176" s="18" t="n">
        <v>34.1</v>
      </c>
      <c r="F176" s="24" t="s">
        <v>392</v>
      </c>
      <c r="G176" s="18" t="n">
        <v>2.8</v>
      </c>
      <c r="H176" s="17" t="n">
        <v>5000</v>
      </c>
      <c r="I176" s="17" t="n">
        <v>106</v>
      </c>
      <c r="J176" s="17" t="n">
        <v>0</v>
      </c>
      <c r="K176" s="17" t="n">
        <v>1800</v>
      </c>
      <c r="L176" s="17" t="n">
        <v>170</v>
      </c>
    </row>
    <row r="177" customFormat="false" ht="15" hidden="false" customHeight="false" outlineLevel="0" collapsed="false">
      <c r="A177" s="24" t="s">
        <v>386</v>
      </c>
      <c r="B177" s="24" t="s">
        <v>298</v>
      </c>
      <c r="C177" s="24" t="s">
        <v>292</v>
      </c>
      <c r="D177" s="17" t="n">
        <v>45</v>
      </c>
      <c r="E177" s="18" t="n">
        <v>46.4</v>
      </c>
      <c r="F177" s="24" t="s">
        <v>385</v>
      </c>
      <c r="G177" s="18" t="n">
        <v>3.5</v>
      </c>
      <c r="H177" s="17" t="n">
        <v>5000</v>
      </c>
      <c r="I177" s="17" t="n">
        <v>114</v>
      </c>
      <c r="J177" s="17" t="n">
        <v>36</v>
      </c>
      <c r="K177" s="17" t="n">
        <v>1800</v>
      </c>
      <c r="L177" s="17" t="n">
        <v>170</v>
      </c>
    </row>
    <row r="178" customFormat="false" ht="15" hidden="false" customHeight="false" outlineLevel="0" collapsed="false">
      <c r="A178" s="24" t="s">
        <v>392</v>
      </c>
      <c r="B178" s="24" t="s">
        <v>298</v>
      </c>
      <c r="C178" s="24" t="s">
        <v>292</v>
      </c>
      <c r="D178" s="17" t="n">
        <v>48</v>
      </c>
      <c r="E178" s="18" t="n">
        <v>28.2</v>
      </c>
      <c r="F178" s="24" t="s">
        <v>391</v>
      </c>
      <c r="G178" s="18" t="n">
        <v>2.8</v>
      </c>
      <c r="H178" s="17" t="n">
        <v>3000</v>
      </c>
      <c r="I178" s="17" t="n">
        <v>141</v>
      </c>
      <c r="J178" s="17" t="n">
        <v>36</v>
      </c>
      <c r="K178" s="17" t="n">
        <v>1080</v>
      </c>
      <c r="L178" s="17" t="n">
        <v>102</v>
      </c>
    </row>
    <row r="179" customFormat="false" ht="15" hidden="false" customHeight="false" outlineLevel="0" collapsed="false">
      <c r="A179" s="24" t="s">
        <v>390</v>
      </c>
      <c r="B179" s="24" t="s">
        <v>298</v>
      </c>
      <c r="C179" s="24" t="s">
        <v>293</v>
      </c>
      <c r="D179" s="17" t="n">
        <v>5</v>
      </c>
      <c r="E179" s="18" t="n">
        <v>31.3</v>
      </c>
      <c r="F179" s="24" t="s">
        <v>389</v>
      </c>
      <c r="G179" s="18" t="n">
        <v>2.9</v>
      </c>
      <c r="H179" s="17" t="n">
        <v>5000</v>
      </c>
      <c r="I179" s="17" t="n">
        <v>147</v>
      </c>
      <c r="J179" s="17" t="n">
        <v>36</v>
      </c>
      <c r="K179" s="17" t="n">
        <v>1800</v>
      </c>
      <c r="L179" s="17" t="n">
        <v>170</v>
      </c>
    </row>
    <row r="180" customFormat="false" ht="15" hidden="false" customHeight="false" outlineLevel="0" collapsed="false">
      <c r="A180" s="24" t="s">
        <v>393</v>
      </c>
      <c r="B180" s="24" t="s">
        <v>299</v>
      </c>
      <c r="C180" s="24" t="s">
        <v>292</v>
      </c>
      <c r="D180" s="17" t="n">
        <v>48</v>
      </c>
      <c r="E180" s="18" t="n">
        <v>33.2</v>
      </c>
      <c r="F180" s="24" t="s">
        <v>394</v>
      </c>
      <c r="G180" s="18" t="n">
        <v>3.1</v>
      </c>
      <c r="H180" s="17" t="n">
        <v>5000</v>
      </c>
      <c r="I180" s="17" t="n">
        <v>95</v>
      </c>
      <c r="J180" s="17" t="n">
        <v>3</v>
      </c>
      <c r="K180" s="17" t="n">
        <v>1800</v>
      </c>
      <c r="L180" s="17" t="n">
        <v>170</v>
      </c>
    </row>
    <row r="181" customFormat="false" ht="15" hidden="false" customHeight="false" outlineLevel="0" collapsed="false">
      <c r="A181" s="24" t="s">
        <v>395</v>
      </c>
      <c r="B181" s="24" t="s">
        <v>299</v>
      </c>
      <c r="C181" s="24" t="s">
        <v>295</v>
      </c>
      <c r="D181" s="17" t="n">
        <v>11</v>
      </c>
      <c r="E181" s="18" t="n">
        <v>42.2</v>
      </c>
      <c r="F181" s="24" t="s">
        <v>396</v>
      </c>
      <c r="G181" s="18" t="n">
        <v>3.6</v>
      </c>
      <c r="H181" s="17" t="n">
        <v>4000</v>
      </c>
      <c r="I181" s="17" t="n">
        <v>85</v>
      </c>
      <c r="J181" s="17" t="n">
        <v>6</v>
      </c>
      <c r="K181" s="17" t="n">
        <v>1440</v>
      </c>
      <c r="L181" s="17" t="n">
        <v>136</v>
      </c>
    </row>
    <row r="182" customFormat="false" ht="15" hidden="false" customHeight="false" outlineLevel="0" collapsed="false">
      <c r="A182" s="24" t="s">
        <v>397</v>
      </c>
      <c r="B182" s="24" t="s">
        <v>299</v>
      </c>
      <c r="C182" s="24" t="s">
        <v>294</v>
      </c>
      <c r="D182" s="17" t="n">
        <v>4</v>
      </c>
      <c r="E182" s="18" t="n">
        <v>20.2</v>
      </c>
      <c r="F182" s="24" t="s">
        <v>398</v>
      </c>
      <c r="G182" s="18" t="n">
        <v>1.3</v>
      </c>
      <c r="H182" s="17" t="n">
        <v>5000</v>
      </c>
      <c r="I182" s="17" t="n">
        <v>127</v>
      </c>
      <c r="J182" s="17" t="n">
        <v>18</v>
      </c>
      <c r="K182" s="17" t="n">
        <v>1800</v>
      </c>
      <c r="L182" s="17" t="n">
        <v>170</v>
      </c>
    </row>
    <row r="183" customFormat="false" ht="15" hidden="false" customHeight="false" outlineLevel="0" collapsed="false">
      <c r="A183" s="24" t="s">
        <v>398</v>
      </c>
      <c r="B183" s="24" t="s">
        <v>299</v>
      </c>
      <c r="C183" s="24" t="s">
        <v>293</v>
      </c>
      <c r="D183" s="17" t="n">
        <v>15</v>
      </c>
      <c r="E183" s="18" t="n">
        <v>53.7</v>
      </c>
      <c r="F183" s="24" t="s">
        <v>397</v>
      </c>
      <c r="G183" s="18" t="n">
        <v>1.3</v>
      </c>
      <c r="H183" s="17" t="n">
        <v>4500</v>
      </c>
      <c r="I183" s="17" t="n">
        <v>141</v>
      </c>
      <c r="J183" s="17" t="n">
        <v>9</v>
      </c>
      <c r="K183" s="17" t="n">
        <v>1620</v>
      </c>
      <c r="L183" s="17" t="n">
        <v>153</v>
      </c>
    </row>
    <row r="184" customFormat="false" ht="15" hidden="false" customHeight="false" outlineLevel="0" collapsed="false">
      <c r="A184" s="24" t="s">
        <v>396</v>
      </c>
      <c r="B184" s="24" t="s">
        <v>299</v>
      </c>
      <c r="C184" s="24" t="s">
        <v>293</v>
      </c>
      <c r="D184" s="17" t="n">
        <v>6</v>
      </c>
      <c r="E184" s="18" t="n">
        <v>40.5</v>
      </c>
      <c r="F184" s="24" t="s">
        <v>395</v>
      </c>
      <c r="G184" s="18" t="n">
        <v>3.6</v>
      </c>
      <c r="H184" s="17" t="n">
        <v>4500</v>
      </c>
      <c r="I184" s="17" t="n">
        <v>112</v>
      </c>
      <c r="J184" s="17" t="n">
        <v>24</v>
      </c>
      <c r="K184" s="17" t="n">
        <v>1620</v>
      </c>
      <c r="L184" s="17" t="n">
        <v>153</v>
      </c>
    </row>
    <row r="185" customFormat="false" ht="15" hidden="false" customHeight="false" outlineLevel="0" collapsed="false">
      <c r="A185" s="24" t="s">
        <v>394</v>
      </c>
      <c r="B185" s="24" t="s">
        <v>299</v>
      </c>
      <c r="C185" s="24" t="s">
        <v>294</v>
      </c>
      <c r="D185" s="17" t="n">
        <v>9</v>
      </c>
      <c r="E185" s="18" t="n">
        <v>34.6</v>
      </c>
      <c r="F185" s="24" t="s">
        <v>393</v>
      </c>
      <c r="G185" s="18" t="n">
        <v>3.1</v>
      </c>
      <c r="H185" s="17" t="n">
        <v>3500</v>
      </c>
      <c r="I185" s="17" t="n">
        <v>164</v>
      </c>
      <c r="J185" s="17" t="n">
        <v>0</v>
      </c>
      <c r="K185" s="17" t="n">
        <v>1260</v>
      </c>
      <c r="L185" s="17" t="n">
        <v>119</v>
      </c>
    </row>
    <row r="186" customFormat="false" ht="15" hidden="false" customHeight="false" outlineLevel="0" collapsed="false">
      <c r="A186" s="24" t="s">
        <v>399</v>
      </c>
      <c r="B186" s="24" t="s">
        <v>299</v>
      </c>
      <c r="C186" s="24" t="s">
        <v>295</v>
      </c>
      <c r="D186" s="17" t="n">
        <v>19</v>
      </c>
      <c r="E186" s="18" t="n">
        <v>31.8</v>
      </c>
      <c r="F186" s="24" t="s">
        <v>400</v>
      </c>
      <c r="G186" s="18" t="n">
        <v>1.1</v>
      </c>
      <c r="H186" s="17" t="n">
        <v>4000</v>
      </c>
      <c r="I186" s="17" t="n">
        <v>83</v>
      </c>
      <c r="J186" s="17" t="n">
        <v>36</v>
      </c>
      <c r="K186" s="17" t="n">
        <v>1440</v>
      </c>
      <c r="L186" s="17" t="n">
        <v>136</v>
      </c>
    </row>
    <row r="187" customFormat="false" ht="15" hidden="false" customHeight="false" outlineLevel="0" collapsed="false">
      <c r="A187" s="24" t="s">
        <v>400</v>
      </c>
      <c r="B187" s="24" t="s">
        <v>299</v>
      </c>
      <c r="C187" s="24" t="s">
        <v>292</v>
      </c>
      <c r="D187" s="17" t="n">
        <v>20</v>
      </c>
      <c r="E187" s="18" t="n">
        <v>42.5</v>
      </c>
      <c r="F187" s="24" t="s">
        <v>399</v>
      </c>
      <c r="G187" s="18" t="n">
        <v>1.1</v>
      </c>
      <c r="H187" s="17" t="n">
        <v>3500</v>
      </c>
      <c r="I187" s="17" t="n">
        <v>111</v>
      </c>
      <c r="J187" s="17" t="n">
        <v>12</v>
      </c>
      <c r="K187" s="17" t="n">
        <v>1260</v>
      </c>
      <c r="L187" s="17" t="n">
        <v>119</v>
      </c>
    </row>
    <row r="188" customFormat="false" ht="15" hidden="false" customHeight="false" outlineLevel="0" collapsed="false">
      <c r="A188" s="24" t="s">
        <v>401</v>
      </c>
      <c r="B188" s="24" t="s">
        <v>300</v>
      </c>
      <c r="C188" s="24" t="s">
        <v>294</v>
      </c>
      <c r="D188" s="17" t="n">
        <v>32</v>
      </c>
      <c r="E188" s="18" t="n">
        <v>50.3</v>
      </c>
      <c r="F188" s="24" t="s">
        <v>402</v>
      </c>
      <c r="G188" s="18" t="n">
        <v>3.3</v>
      </c>
      <c r="H188" s="17" t="n">
        <v>5000</v>
      </c>
      <c r="I188" s="17" t="n">
        <v>152</v>
      </c>
      <c r="J188" s="17" t="n">
        <v>6</v>
      </c>
      <c r="K188" s="17" t="n">
        <v>1800</v>
      </c>
      <c r="L188" s="17" t="n">
        <v>170</v>
      </c>
    </row>
    <row r="189" customFormat="false" ht="15" hidden="false" customHeight="false" outlineLevel="0" collapsed="false">
      <c r="A189" s="24" t="s">
        <v>403</v>
      </c>
      <c r="B189" s="24" t="s">
        <v>300</v>
      </c>
      <c r="C189" s="24" t="s">
        <v>293</v>
      </c>
      <c r="D189" s="17" t="n">
        <v>11</v>
      </c>
      <c r="E189" s="18" t="n">
        <v>23.9</v>
      </c>
      <c r="F189" s="24" t="s">
        <v>404</v>
      </c>
      <c r="G189" s="18" t="n">
        <v>1</v>
      </c>
      <c r="H189" s="17" t="n">
        <v>3500</v>
      </c>
      <c r="I189" s="17" t="n">
        <v>140</v>
      </c>
      <c r="J189" s="17" t="n">
        <v>36</v>
      </c>
      <c r="K189" s="17" t="n">
        <v>1260</v>
      </c>
      <c r="L189" s="17" t="n">
        <v>119</v>
      </c>
    </row>
    <row r="190" customFormat="false" ht="15" hidden="false" customHeight="false" outlineLevel="0" collapsed="false">
      <c r="A190" s="24" t="s">
        <v>402</v>
      </c>
      <c r="B190" s="24" t="s">
        <v>300</v>
      </c>
      <c r="C190" s="24" t="s">
        <v>295</v>
      </c>
      <c r="D190" s="17" t="n">
        <v>27</v>
      </c>
      <c r="E190" s="18" t="n">
        <v>30.6</v>
      </c>
      <c r="F190" s="24" t="s">
        <v>401</v>
      </c>
      <c r="G190" s="18" t="n">
        <v>3.3</v>
      </c>
      <c r="H190" s="17" t="n">
        <v>3000</v>
      </c>
      <c r="I190" s="17" t="n">
        <v>58</v>
      </c>
      <c r="J190" s="17" t="n">
        <v>9</v>
      </c>
      <c r="K190" s="17" t="n">
        <v>1080</v>
      </c>
      <c r="L190" s="17" t="n">
        <v>102</v>
      </c>
    </row>
    <row r="191" customFormat="false" ht="15" hidden="false" customHeight="false" outlineLevel="0" collapsed="false">
      <c r="A191" s="24" t="s">
        <v>405</v>
      </c>
      <c r="B191" s="24" t="s">
        <v>300</v>
      </c>
      <c r="C191" s="24" t="s">
        <v>293</v>
      </c>
      <c r="D191" s="17" t="n">
        <v>8</v>
      </c>
      <c r="E191" s="18" t="n">
        <v>40.4</v>
      </c>
      <c r="F191" s="24" t="s">
        <v>406</v>
      </c>
      <c r="G191" s="18" t="n">
        <v>1.4</v>
      </c>
      <c r="H191" s="17" t="n">
        <v>3500</v>
      </c>
      <c r="I191" s="17" t="n">
        <v>112</v>
      </c>
      <c r="J191" s="17" t="n">
        <v>36</v>
      </c>
      <c r="K191" s="17" t="n">
        <v>1260</v>
      </c>
      <c r="L191" s="17" t="n">
        <v>119</v>
      </c>
    </row>
    <row r="192" customFormat="false" ht="15" hidden="false" customHeight="false" outlineLevel="0" collapsed="false">
      <c r="A192" s="24" t="s">
        <v>407</v>
      </c>
      <c r="B192" s="24" t="s">
        <v>300</v>
      </c>
      <c r="C192" s="24" t="s">
        <v>294</v>
      </c>
      <c r="D192" s="17" t="n">
        <v>18</v>
      </c>
      <c r="E192" s="18" t="n">
        <v>51.9</v>
      </c>
      <c r="F192" s="24" t="s">
        <v>408</v>
      </c>
      <c r="G192" s="18" t="n">
        <v>3</v>
      </c>
      <c r="H192" s="17" t="n">
        <v>4000</v>
      </c>
      <c r="I192" s="17" t="n">
        <v>111</v>
      </c>
      <c r="J192" s="17" t="n">
        <v>3</v>
      </c>
      <c r="K192" s="17" t="n">
        <v>1440</v>
      </c>
      <c r="L192" s="17" t="n">
        <v>136</v>
      </c>
    </row>
    <row r="193" customFormat="false" ht="15" hidden="false" customHeight="false" outlineLevel="0" collapsed="false">
      <c r="A193" s="24" t="s">
        <v>404</v>
      </c>
      <c r="B193" s="24" t="s">
        <v>300</v>
      </c>
      <c r="C193" s="24" t="s">
        <v>292</v>
      </c>
      <c r="D193" s="17" t="n">
        <v>7</v>
      </c>
      <c r="E193" s="18" t="n">
        <v>38.1</v>
      </c>
      <c r="F193" s="24" t="s">
        <v>403</v>
      </c>
      <c r="G193" s="18" t="n">
        <v>1</v>
      </c>
      <c r="H193" s="17" t="n">
        <v>4500</v>
      </c>
      <c r="I193" s="17" t="n">
        <v>91</v>
      </c>
      <c r="J193" s="17" t="n">
        <v>24</v>
      </c>
      <c r="K193" s="17" t="n">
        <v>1620</v>
      </c>
      <c r="L193" s="17" t="n">
        <v>153</v>
      </c>
    </row>
    <row r="194" customFormat="false" ht="15" hidden="false" customHeight="false" outlineLevel="0" collapsed="false">
      <c r="A194" s="24" t="s">
        <v>408</v>
      </c>
      <c r="B194" s="24" t="s">
        <v>300</v>
      </c>
      <c r="C194" s="24" t="s">
        <v>293</v>
      </c>
      <c r="D194" s="17" t="n">
        <v>20</v>
      </c>
      <c r="E194" s="18" t="n">
        <v>24.6</v>
      </c>
      <c r="F194" s="24" t="s">
        <v>407</v>
      </c>
      <c r="G194" s="18" t="n">
        <v>3</v>
      </c>
      <c r="H194" s="17" t="n">
        <v>3000</v>
      </c>
      <c r="I194" s="17" t="n">
        <v>89</v>
      </c>
      <c r="J194" s="17" t="n">
        <v>3</v>
      </c>
      <c r="K194" s="17" t="n">
        <v>1080</v>
      </c>
      <c r="L194" s="17" t="n">
        <v>102</v>
      </c>
    </row>
    <row r="195" customFormat="false" ht="15" hidden="false" customHeight="false" outlineLevel="0" collapsed="false">
      <c r="A195" s="24" t="s">
        <v>406</v>
      </c>
      <c r="B195" s="24" t="s">
        <v>300</v>
      </c>
      <c r="C195" s="24" t="s">
        <v>293</v>
      </c>
      <c r="D195" s="17" t="n">
        <v>10</v>
      </c>
      <c r="E195" s="18" t="n">
        <v>15.3</v>
      </c>
      <c r="F195" s="24" t="s">
        <v>405</v>
      </c>
      <c r="G195" s="18" t="n">
        <v>1.4</v>
      </c>
      <c r="H195" s="17" t="n">
        <v>4000</v>
      </c>
      <c r="I195" s="17" t="n">
        <v>101</v>
      </c>
      <c r="J195" s="17" t="n">
        <v>36</v>
      </c>
      <c r="K195" s="17" t="n">
        <v>1440</v>
      </c>
      <c r="L195" s="17" t="n">
        <v>136</v>
      </c>
    </row>
    <row r="196" customFormat="false" ht="15" hidden="false" customHeight="false" outlineLevel="0" collapsed="false">
      <c r="A196" s="24" t="s">
        <v>409</v>
      </c>
      <c r="B196" s="24" t="s">
        <v>301</v>
      </c>
      <c r="C196" s="24" t="s">
        <v>292</v>
      </c>
      <c r="D196" s="17" t="n">
        <v>27</v>
      </c>
      <c r="E196" s="18" t="n">
        <v>35.4</v>
      </c>
      <c r="F196" s="24" t="s">
        <v>410</v>
      </c>
      <c r="G196" s="18" t="n">
        <v>2.4</v>
      </c>
      <c r="H196" s="17" t="n">
        <v>4000</v>
      </c>
      <c r="I196" s="17" t="n">
        <v>66</v>
      </c>
      <c r="J196" s="17" t="n">
        <v>3</v>
      </c>
      <c r="K196" s="17" t="n">
        <v>1440</v>
      </c>
      <c r="L196" s="17" t="n">
        <v>136</v>
      </c>
    </row>
    <row r="197" customFormat="false" ht="15" hidden="false" customHeight="false" outlineLevel="0" collapsed="false">
      <c r="A197" s="24" t="s">
        <v>411</v>
      </c>
      <c r="B197" s="24" t="s">
        <v>301</v>
      </c>
      <c r="C197" s="24" t="s">
        <v>292</v>
      </c>
      <c r="D197" s="17" t="n">
        <v>28</v>
      </c>
      <c r="E197" s="18" t="n">
        <v>36.5</v>
      </c>
      <c r="F197" s="24" t="s">
        <v>412</v>
      </c>
      <c r="G197" s="18" t="n">
        <v>2</v>
      </c>
      <c r="H197" s="17" t="n">
        <v>4500</v>
      </c>
      <c r="I197" s="17" t="n">
        <v>46</v>
      </c>
      <c r="J197" s="17" t="n">
        <v>36</v>
      </c>
      <c r="K197" s="17" t="n">
        <v>1620</v>
      </c>
      <c r="L197" s="17" t="n">
        <v>153</v>
      </c>
    </row>
    <row r="198" customFormat="false" ht="15" hidden="false" customHeight="false" outlineLevel="0" collapsed="false">
      <c r="A198" s="24" t="s">
        <v>413</v>
      </c>
      <c r="B198" s="24" t="s">
        <v>301</v>
      </c>
      <c r="C198" s="24" t="s">
        <v>292</v>
      </c>
      <c r="D198" s="17" t="n">
        <v>36</v>
      </c>
      <c r="E198" s="18" t="n">
        <v>31.3</v>
      </c>
      <c r="F198" s="24" t="s">
        <v>414</v>
      </c>
      <c r="G198" s="18" t="n">
        <v>3.1</v>
      </c>
      <c r="H198" s="17" t="n">
        <v>5000</v>
      </c>
      <c r="I198" s="17" t="n">
        <v>87</v>
      </c>
      <c r="J198" s="17" t="n">
        <v>36</v>
      </c>
      <c r="K198" s="17" t="n">
        <v>1800</v>
      </c>
      <c r="L198" s="17" t="n">
        <v>170</v>
      </c>
    </row>
    <row r="199" customFormat="false" ht="15" hidden="false" customHeight="false" outlineLevel="0" collapsed="false">
      <c r="A199" s="24" t="s">
        <v>412</v>
      </c>
      <c r="B199" s="24" t="s">
        <v>301</v>
      </c>
      <c r="C199" s="24" t="s">
        <v>293</v>
      </c>
      <c r="D199" s="17" t="n">
        <v>5</v>
      </c>
      <c r="E199" s="18" t="n">
        <v>31.4</v>
      </c>
      <c r="F199" s="24" t="s">
        <v>411</v>
      </c>
      <c r="G199" s="18" t="n">
        <v>2</v>
      </c>
      <c r="H199" s="17" t="n">
        <v>5000</v>
      </c>
      <c r="I199" s="17" t="n">
        <v>73</v>
      </c>
      <c r="J199" s="17" t="n">
        <v>6</v>
      </c>
      <c r="K199" s="17" t="n">
        <v>1800</v>
      </c>
      <c r="L199" s="17" t="n">
        <v>170</v>
      </c>
    </row>
    <row r="200" customFormat="false" ht="15" hidden="false" customHeight="false" outlineLevel="0" collapsed="false">
      <c r="A200" s="24" t="s">
        <v>410</v>
      </c>
      <c r="B200" s="24" t="s">
        <v>301</v>
      </c>
      <c r="C200" s="24" t="s">
        <v>293</v>
      </c>
      <c r="D200" s="17" t="n">
        <v>29</v>
      </c>
      <c r="E200" s="18" t="n">
        <v>54.1</v>
      </c>
      <c r="F200" s="24" t="s">
        <v>409</v>
      </c>
      <c r="G200" s="18" t="n">
        <v>2.4</v>
      </c>
      <c r="H200" s="17" t="n">
        <v>5500</v>
      </c>
      <c r="I200" s="17" t="n">
        <v>77</v>
      </c>
      <c r="J200" s="17" t="n">
        <v>0</v>
      </c>
      <c r="K200" s="17" t="n">
        <v>1980</v>
      </c>
      <c r="L200" s="17" t="n">
        <v>187</v>
      </c>
    </row>
    <row r="201" customFormat="false" ht="15" hidden="false" customHeight="false" outlineLevel="0" collapsed="false">
      <c r="A201" s="24" t="s">
        <v>414</v>
      </c>
      <c r="B201" s="24" t="s">
        <v>301</v>
      </c>
      <c r="C201" s="24" t="s">
        <v>292</v>
      </c>
      <c r="D201" s="17" t="n">
        <v>18</v>
      </c>
      <c r="E201" s="18" t="n">
        <v>23.4</v>
      </c>
      <c r="F201" s="24" t="s">
        <v>413</v>
      </c>
      <c r="G201" s="18" t="n">
        <v>3.1</v>
      </c>
      <c r="H201" s="17" t="n">
        <v>4000</v>
      </c>
      <c r="I201" s="17" t="n">
        <v>47</v>
      </c>
      <c r="J201" s="17" t="n">
        <v>0</v>
      </c>
      <c r="K201" s="17" t="n">
        <v>1440</v>
      </c>
      <c r="L201" s="17" t="n">
        <v>136</v>
      </c>
    </row>
    <row r="203" customFormat="false" ht="15" hidden="false" customHeight="false" outlineLevel="0" collapsed="false">
      <c r="A203" s="4" t="s">
        <v>415</v>
      </c>
    </row>
    <row r="204" customFormat="false" ht="54" hidden="false" customHeight="true" outlineLevel="0" collapsed="false">
      <c r="A204" s="5" t="s">
        <v>416</v>
      </c>
      <c r="B204" s="5" t="s">
        <v>344</v>
      </c>
      <c r="C204" s="5" t="s">
        <v>417</v>
      </c>
      <c r="D204" s="5" t="s">
        <v>418</v>
      </c>
      <c r="E204" s="5" t="s">
        <v>419</v>
      </c>
      <c r="F204" s="5" t="s">
        <v>420</v>
      </c>
      <c r="G204" s="5" t="s">
        <v>421</v>
      </c>
      <c r="H204" s="5" t="s">
        <v>422</v>
      </c>
      <c r="I204" s="5" t="s">
        <v>423</v>
      </c>
      <c r="J204" s="5" t="s">
        <v>330</v>
      </c>
      <c r="K204" s="5" t="s">
        <v>424</v>
      </c>
      <c r="L204" s="5" t="s">
        <v>425</v>
      </c>
      <c r="M204" s="5" t="s">
        <v>426</v>
      </c>
      <c r="N204" s="5" t="s">
        <v>427</v>
      </c>
      <c r="O204" s="5" t="s">
        <v>428</v>
      </c>
      <c r="P204" s="5" t="s">
        <v>429</v>
      </c>
      <c r="Q204" s="5" t="s">
        <v>430</v>
      </c>
      <c r="R204" s="5" t="s">
        <v>431</v>
      </c>
      <c r="S204" s="5" t="s">
        <v>432</v>
      </c>
      <c r="T204" s="5" t="s">
        <v>433</v>
      </c>
      <c r="U204" s="5" t="s">
        <v>434</v>
      </c>
      <c r="V204" s="5" t="s">
        <v>435</v>
      </c>
      <c r="W204" s="5" t="s">
        <v>436</v>
      </c>
    </row>
    <row r="205" customFormat="false" ht="15" hidden="false" customHeight="false" outlineLevel="0" collapsed="false">
      <c r="A205" s="25" t="s">
        <v>437</v>
      </c>
      <c r="B205" s="25" t="s">
        <v>355</v>
      </c>
      <c r="C205" s="26" t="n">
        <v>45931</v>
      </c>
      <c r="D205" s="27" t="n">
        <v>2270</v>
      </c>
      <c r="E205" s="28" t="n">
        <v>597</v>
      </c>
      <c r="F205" s="29" t="n">
        <v>0.0806</v>
      </c>
      <c r="G205" s="29" t="n">
        <v>0.1614</v>
      </c>
      <c r="H205" s="30" t="n">
        <v>12.96</v>
      </c>
      <c r="I205" s="29" t="n">
        <v>0.0179</v>
      </c>
      <c r="J205" s="29" t="n">
        <v>0.0421</v>
      </c>
      <c r="K205" s="29" t="n">
        <v>0.0495</v>
      </c>
      <c r="L205" s="27" t="n">
        <v>17</v>
      </c>
      <c r="M205" s="27" t="n">
        <v>21000</v>
      </c>
      <c r="N205" s="30" t="n">
        <v>48.6</v>
      </c>
      <c r="O205" s="30" t="n">
        <v>10.46</v>
      </c>
      <c r="P205" s="29" t="n">
        <v>0.0098</v>
      </c>
      <c r="Q205" s="27" t="n">
        <v>471000</v>
      </c>
      <c r="R205" s="27" t="n">
        <v>142149</v>
      </c>
      <c r="S205" s="27" t="n">
        <v>41423</v>
      </c>
      <c r="T205" s="29" t="n">
        <v>0.571</v>
      </c>
      <c r="U205" s="29" t="n">
        <v>0.277</v>
      </c>
      <c r="V205" s="29" t="n">
        <v>0.857</v>
      </c>
      <c r="W205" s="28" t="n">
        <v>11.9</v>
      </c>
    </row>
    <row r="206" customFormat="false" ht="15" hidden="false" customHeight="false" outlineLevel="0" collapsed="false">
      <c r="A206" s="25" t="s">
        <v>438</v>
      </c>
      <c r="B206" s="25" t="s">
        <v>355</v>
      </c>
      <c r="C206" s="26" t="n">
        <v>45962</v>
      </c>
      <c r="D206" s="27" t="n">
        <v>3955</v>
      </c>
      <c r="E206" s="28" t="n">
        <v>568.8</v>
      </c>
      <c r="F206" s="29" t="n">
        <v>0.0797</v>
      </c>
      <c r="G206" s="29" t="n">
        <v>0.1648</v>
      </c>
      <c r="H206" s="30" t="n">
        <v>12.49</v>
      </c>
      <c r="I206" s="29" t="n">
        <v>0.0179</v>
      </c>
      <c r="J206" s="29" t="n">
        <v>0.0427</v>
      </c>
      <c r="K206" s="29" t="n">
        <v>0.0483</v>
      </c>
      <c r="L206" s="27" t="n">
        <v>16</v>
      </c>
      <c r="M206" s="27" t="n">
        <v>21019</v>
      </c>
      <c r="N206" s="30" t="n">
        <v>47.97</v>
      </c>
      <c r="O206" s="30" t="n">
        <v>10.18</v>
      </c>
      <c r="P206" s="29" t="n">
        <v>0.0103</v>
      </c>
      <c r="Q206" s="27" t="n">
        <v>471000</v>
      </c>
      <c r="R206" s="27" t="n">
        <v>133431</v>
      </c>
      <c r="S206" s="27" t="n">
        <v>60769</v>
      </c>
      <c r="T206" s="29" t="n">
        <v>0.601</v>
      </c>
      <c r="U206" s="29" t="n">
        <v>0.302</v>
      </c>
      <c r="V206" s="29" t="n">
        <v>0.87</v>
      </c>
      <c r="W206" s="28" t="n">
        <v>12.2</v>
      </c>
    </row>
    <row r="207" customFormat="false" ht="15" hidden="false" customHeight="false" outlineLevel="0" collapsed="false">
      <c r="A207" s="25" t="s">
        <v>439</v>
      </c>
      <c r="B207" s="25" t="s">
        <v>355</v>
      </c>
      <c r="C207" s="26" t="n">
        <v>45992</v>
      </c>
      <c r="D207" s="27" t="n">
        <v>6139</v>
      </c>
      <c r="E207" s="28" t="n">
        <v>573.6</v>
      </c>
      <c r="F207" s="29" t="n">
        <v>0.0726</v>
      </c>
      <c r="G207" s="29" t="n">
        <v>0.1627</v>
      </c>
      <c r="H207" s="30" t="n">
        <v>12.84</v>
      </c>
      <c r="I207" s="29" t="n">
        <v>0.0191</v>
      </c>
      <c r="J207" s="29" t="n">
        <v>0.0409</v>
      </c>
      <c r="K207" s="29" t="n">
        <v>0.0425</v>
      </c>
      <c r="L207" s="27" t="n">
        <v>17</v>
      </c>
      <c r="M207" s="27" t="n">
        <v>21038</v>
      </c>
      <c r="N207" s="30" t="n">
        <v>47.33</v>
      </c>
      <c r="O207" s="30" t="n">
        <v>10.38</v>
      </c>
      <c r="P207" s="29" t="n">
        <v>0.0103</v>
      </c>
      <c r="Q207" s="27" t="n">
        <v>471000</v>
      </c>
      <c r="R207" s="27" t="n">
        <v>129927</v>
      </c>
      <c r="S207" s="27" t="n">
        <v>93260</v>
      </c>
      <c r="T207" s="29" t="n">
        <v>0.604</v>
      </c>
      <c r="U207" s="29" t="n">
        <v>0.305</v>
      </c>
      <c r="V207" s="29" t="n">
        <v>0.869</v>
      </c>
      <c r="W207" s="28" t="n">
        <v>11.7</v>
      </c>
    </row>
    <row r="208" customFormat="false" ht="15" hidden="false" customHeight="false" outlineLevel="0" collapsed="false">
      <c r="A208" s="25" t="s">
        <v>440</v>
      </c>
      <c r="B208" s="25" t="s">
        <v>355</v>
      </c>
      <c r="C208" s="26" t="n">
        <v>46023</v>
      </c>
      <c r="D208" s="27" t="n">
        <v>7343</v>
      </c>
      <c r="E208" s="28" t="n">
        <v>603.3</v>
      </c>
      <c r="F208" s="29" t="n">
        <v>0.0713</v>
      </c>
      <c r="G208" s="29" t="n">
        <v>0.1606</v>
      </c>
      <c r="H208" s="30" t="n">
        <v>13.17</v>
      </c>
      <c r="I208" s="29" t="n">
        <v>0.0188</v>
      </c>
      <c r="J208" s="29" t="n">
        <v>0.0416</v>
      </c>
      <c r="K208" s="29" t="n">
        <v>0.0509</v>
      </c>
      <c r="L208" s="27" t="n">
        <v>16</v>
      </c>
      <c r="M208" s="27" t="n">
        <v>21057</v>
      </c>
      <c r="N208" s="30" t="n">
        <v>46.07</v>
      </c>
      <c r="O208" s="30" t="n">
        <v>10.66</v>
      </c>
      <c r="P208" s="29" t="n">
        <v>0.0103</v>
      </c>
      <c r="Q208" s="27" t="n">
        <v>471000</v>
      </c>
      <c r="R208" s="27" t="n">
        <v>128332</v>
      </c>
      <c r="S208" s="27" t="n">
        <v>102885</v>
      </c>
      <c r="T208" s="29" t="n">
        <v>0.64</v>
      </c>
      <c r="U208" s="29" t="n">
        <v>0.305</v>
      </c>
      <c r="V208" s="29" t="n">
        <v>0.855</v>
      </c>
      <c r="W208" s="28" t="n">
        <v>11.7</v>
      </c>
    </row>
    <row r="209" customFormat="false" ht="15" hidden="false" customHeight="false" outlineLevel="0" collapsed="false">
      <c r="A209" s="25" t="s">
        <v>441</v>
      </c>
      <c r="B209" s="25" t="s">
        <v>355</v>
      </c>
      <c r="C209" s="26" t="n">
        <v>46054</v>
      </c>
      <c r="D209" s="27" t="n">
        <v>7625</v>
      </c>
      <c r="E209" s="28" t="n">
        <v>582.9</v>
      </c>
      <c r="F209" s="29" t="n">
        <v>0.0664</v>
      </c>
      <c r="G209" s="29" t="n">
        <v>0.162</v>
      </c>
      <c r="H209" s="30" t="n">
        <v>12.62</v>
      </c>
      <c r="I209" s="29" t="n">
        <v>0.0209</v>
      </c>
      <c r="J209" s="29" t="n">
        <v>0.0383</v>
      </c>
      <c r="K209" s="29" t="n">
        <v>0.0409</v>
      </c>
      <c r="L209" s="27" t="n">
        <v>16</v>
      </c>
      <c r="M209" s="27" t="n">
        <v>21076</v>
      </c>
      <c r="N209" s="30" t="n">
        <v>46.06</v>
      </c>
      <c r="O209" s="30" t="n">
        <v>9.87</v>
      </c>
      <c r="P209" s="29" t="n">
        <v>0.0098</v>
      </c>
      <c r="Q209" s="27" t="n">
        <v>471000</v>
      </c>
      <c r="R209" s="27" t="n">
        <v>134274</v>
      </c>
      <c r="S209" s="27" t="n">
        <v>100917</v>
      </c>
      <c r="T209" s="29" t="n">
        <v>0.655</v>
      </c>
      <c r="U209" s="29" t="n">
        <v>0.308</v>
      </c>
      <c r="V209" s="29" t="n">
        <v>0.848</v>
      </c>
      <c r="W209" s="28" t="n">
        <v>12.4</v>
      </c>
    </row>
    <row r="210" customFormat="false" ht="15" hidden="false" customHeight="false" outlineLevel="0" collapsed="false">
      <c r="A210" s="25" t="s">
        <v>442</v>
      </c>
      <c r="B210" s="25" t="s">
        <v>355</v>
      </c>
      <c r="C210" s="26" t="n">
        <v>46082</v>
      </c>
      <c r="D210" s="27" t="n">
        <v>9557</v>
      </c>
      <c r="E210" s="28" t="n">
        <v>587.7</v>
      </c>
      <c r="F210" s="29" t="n">
        <v>0.0649</v>
      </c>
      <c r="G210" s="29" t="n">
        <v>0.1652</v>
      </c>
      <c r="H210" s="30" t="n">
        <v>12.29</v>
      </c>
      <c r="I210" s="29" t="n">
        <v>0.0196</v>
      </c>
      <c r="J210" s="29" t="n">
        <v>0.0392</v>
      </c>
      <c r="K210" s="29" t="n">
        <v>0.0435</v>
      </c>
      <c r="L210" s="27" t="n">
        <v>16</v>
      </c>
      <c r="M210" s="27" t="n">
        <v>21095</v>
      </c>
      <c r="N210" s="30" t="n">
        <v>44.45</v>
      </c>
      <c r="O210" s="30" t="n">
        <v>10.3</v>
      </c>
      <c r="P210" s="29" t="n">
        <v>0.0094</v>
      </c>
      <c r="Q210" s="27" t="n">
        <v>471000</v>
      </c>
      <c r="R210" s="27" t="n">
        <v>148511</v>
      </c>
      <c r="S210" s="27" t="n">
        <v>109773</v>
      </c>
      <c r="T210" s="29" t="n">
        <v>0.684</v>
      </c>
      <c r="U210" s="29" t="n">
        <v>0.3</v>
      </c>
      <c r="V210" s="29" t="n">
        <v>0.87</v>
      </c>
      <c r="W210" s="28" t="n">
        <v>11.5</v>
      </c>
    </row>
    <row r="211" customFormat="false" ht="15" hidden="false" customHeight="false" outlineLevel="0" collapsed="false">
      <c r="A211" s="25" t="s">
        <v>443</v>
      </c>
      <c r="B211" s="25" t="s">
        <v>355</v>
      </c>
      <c r="C211" s="26" t="n">
        <v>46113</v>
      </c>
      <c r="D211" s="27" t="n">
        <v>11206</v>
      </c>
      <c r="E211" s="28" t="n">
        <v>601.2</v>
      </c>
      <c r="F211" s="29" t="n">
        <v>0.064</v>
      </c>
      <c r="G211" s="29" t="n">
        <v>0.1632</v>
      </c>
      <c r="H211" s="30" t="n">
        <v>12.84</v>
      </c>
      <c r="I211" s="29" t="n">
        <v>0.0216</v>
      </c>
      <c r="J211" s="29" t="n">
        <v>0.0373</v>
      </c>
      <c r="K211" s="29" t="n">
        <v>0.0467</v>
      </c>
      <c r="L211" s="27" t="n">
        <v>16</v>
      </c>
      <c r="M211" s="27" t="n">
        <v>21115</v>
      </c>
      <c r="N211" s="30" t="n">
        <v>46.18</v>
      </c>
      <c r="O211" s="30" t="n">
        <v>10.38</v>
      </c>
      <c r="P211" s="29" t="n">
        <v>0.0096</v>
      </c>
      <c r="Q211" s="27" t="n">
        <v>471000</v>
      </c>
      <c r="R211" s="27" t="n">
        <v>139116</v>
      </c>
      <c r="S211" s="27" t="n">
        <v>128162</v>
      </c>
      <c r="T211" s="29" t="n">
        <v>0.737</v>
      </c>
      <c r="U211" s="29" t="n">
        <v>0.299</v>
      </c>
      <c r="V211" s="29" t="n">
        <v>0.868</v>
      </c>
      <c r="W211" s="28" t="n">
        <v>11.6</v>
      </c>
    </row>
    <row r="212" customFormat="false" ht="15" hidden="false" customHeight="false" outlineLevel="0" collapsed="false">
      <c r="A212" s="25" t="s">
        <v>444</v>
      </c>
      <c r="B212" s="25" t="s">
        <v>355</v>
      </c>
      <c r="C212" s="26" t="n">
        <v>46143</v>
      </c>
      <c r="D212" s="27" t="n">
        <v>12559</v>
      </c>
      <c r="E212" s="28" t="n">
        <v>589.4</v>
      </c>
      <c r="F212" s="29" t="n">
        <v>0.0594</v>
      </c>
      <c r="G212" s="29" t="n">
        <v>0.1652</v>
      </c>
      <c r="H212" s="30" t="n">
        <v>12.45</v>
      </c>
      <c r="I212" s="29" t="n">
        <v>0.0215</v>
      </c>
      <c r="J212" s="29" t="n">
        <v>0.0358</v>
      </c>
      <c r="K212" s="29" t="n">
        <v>0.0387</v>
      </c>
      <c r="L212" s="27" t="n">
        <v>16</v>
      </c>
      <c r="M212" s="27" t="n">
        <v>21134</v>
      </c>
      <c r="N212" s="30" t="n">
        <v>45.09</v>
      </c>
      <c r="O212" s="30" t="n">
        <v>10.53</v>
      </c>
      <c r="P212" s="29" t="n">
        <v>0.0106</v>
      </c>
      <c r="Q212" s="27" t="n">
        <v>471000</v>
      </c>
      <c r="R212" s="27" t="n">
        <v>136294</v>
      </c>
      <c r="S212" s="27" t="n">
        <v>121803</v>
      </c>
      <c r="T212" s="29" t="n">
        <v>0.711</v>
      </c>
      <c r="U212" s="29" t="n">
        <v>0.302</v>
      </c>
      <c r="V212" s="29" t="n">
        <v>0.87</v>
      </c>
      <c r="W212" s="28" t="n">
        <v>12.2</v>
      </c>
    </row>
    <row r="213" customFormat="false" ht="15" hidden="false" customHeight="false" outlineLevel="0" collapsed="false">
      <c r="A213" s="25" t="s">
        <v>445</v>
      </c>
      <c r="B213" s="25" t="s">
        <v>355</v>
      </c>
      <c r="C213" s="26" t="n">
        <v>46174</v>
      </c>
      <c r="D213" s="27" t="n">
        <v>13044</v>
      </c>
      <c r="E213" s="28" t="n">
        <v>595.8</v>
      </c>
      <c r="F213" s="29" t="n">
        <v>0.0583</v>
      </c>
      <c r="G213" s="29" t="n">
        <v>0.1604</v>
      </c>
      <c r="H213" s="30" t="n">
        <v>12.31</v>
      </c>
      <c r="I213" s="29" t="n">
        <v>0.0233</v>
      </c>
      <c r="J213" s="29" t="n">
        <v>0.0361</v>
      </c>
      <c r="K213" s="29" t="n">
        <v>0.0431</v>
      </c>
      <c r="L213" s="27" t="n">
        <v>16</v>
      </c>
      <c r="M213" s="27" t="n">
        <v>21153</v>
      </c>
      <c r="N213" s="30" t="n">
        <v>44.88</v>
      </c>
      <c r="O213" s="30" t="n">
        <v>10.51</v>
      </c>
      <c r="P213" s="29" t="n">
        <v>0.0099</v>
      </c>
      <c r="Q213" s="27" t="n">
        <v>471000</v>
      </c>
      <c r="R213" s="27" t="n">
        <v>133990</v>
      </c>
      <c r="S213" s="27" t="n">
        <v>124190</v>
      </c>
      <c r="T213" s="29" t="n">
        <v>0.725</v>
      </c>
      <c r="U213" s="29" t="n">
        <v>0.32</v>
      </c>
      <c r="V213" s="29" t="n">
        <v>0.866</v>
      </c>
      <c r="W213" s="28" t="n">
        <v>11.8</v>
      </c>
    </row>
    <row r="214" customFormat="false" ht="15" hidden="false" customHeight="false" outlineLevel="0" collapsed="false">
      <c r="A214" s="25" t="s">
        <v>446</v>
      </c>
      <c r="B214" s="25" t="s">
        <v>355</v>
      </c>
      <c r="C214" s="26" t="n">
        <v>46204</v>
      </c>
      <c r="D214" s="27" t="n">
        <v>13876</v>
      </c>
      <c r="E214" s="28" t="n">
        <v>584.9</v>
      </c>
      <c r="F214" s="29" t="n">
        <v>0.0571</v>
      </c>
      <c r="G214" s="29" t="n">
        <v>0.1608</v>
      </c>
      <c r="H214" s="30" t="n">
        <v>12.69</v>
      </c>
      <c r="I214" s="29" t="n">
        <v>0.0207</v>
      </c>
      <c r="J214" s="29" t="n">
        <v>0.0339</v>
      </c>
      <c r="K214" s="29" t="n">
        <v>0.0485</v>
      </c>
      <c r="L214" s="27" t="n">
        <v>16</v>
      </c>
      <c r="M214" s="27" t="n">
        <v>21172</v>
      </c>
      <c r="N214" s="30" t="n">
        <v>44.54</v>
      </c>
      <c r="O214" s="30" t="n">
        <v>10</v>
      </c>
      <c r="P214" s="29" t="n">
        <v>0.0101</v>
      </c>
      <c r="Q214" s="27" t="n">
        <v>471000</v>
      </c>
      <c r="R214" s="27" t="n">
        <v>139496</v>
      </c>
      <c r="S214" s="27" t="n">
        <v>115223</v>
      </c>
      <c r="T214" s="29" t="n">
        <v>0.737</v>
      </c>
      <c r="U214" s="29" t="n">
        <v>0.289</v>
      </c>
      <c r="V214" s="29" t="n">
        <v>0.841</v>
      </c>
      <c r="W214" s="28" t="n">
        <v>13</v>
      </c>
    </row>
    <row r="215" customFormat="false" ht="15" hidden="false" customHeight="false" outlineLevel="0" collapsed="false">
      <c r="A215" s="25" t="s">
        <v>447</v>
      </c>
      <c r="B215" s="25" t="s">
        <v>355</v>
      </c>
      <c r="C215" s="26" t="n">
        <v>46235</v>
      </c>
      <c r="D215" s="27" t="n">
        <v>14889</v>
      </c>
      <c r="E215" s="28" t="n">
        <v>590.3</v>
      </c>
      <c r="F215" s="29" t="n">
        <v>0.0599</v>
      </c>
      <c r="G215" s="29" t="n">
        <v>0.1593</v>
      </c>
      <c r="H215" s="30" t="n">
        <v>13.26</v>
      </c>
      <c r="I215" s="29" t="n">
        <v>0.0197</v>
      </c>
      <c r="J215" s="29" t="n">
        <v>0.0347</v>
      </c>
      <c r="K215" s="29" t="n">
        <v>0.0454</v>
      </c>
      <c r="L215" s="27" t="n">
        <v>16</v>
      </c>
      <c r="M215" s="27" t="n">
        <v>21191</v>
      </c>
      <c r="N215" s="30" t="n">
        <v>44.43</v>
      </c>
      <c r="O215" s="30" t="n">
        <v>10.41</v>
      </c>
      <c r="P215" s="29" t="n">
        <v>0.01</v>
      </c>
      <c r="Q215" s="27" t="n">
        <v>471000</v>
      </c>
      <c r="R215" s="27" t="n">
        <v>129686</v>
      </c>
      <c r="S215" s="27" t="n">
        <v>113016</v>
      </c>
      <c r="T215" s="29" t="n">
        <v>0.786</v>
      </c>
      <c r="U215" s="29" t="n">
        <v>0.283</v>
      </c>
      <c r="V215" s="29" t="n">
        <v>0.87</v>
      </c>
      <c r="W215" s="28" t="n">
        <v>11.8</v>
      </c>
    </row>
    <row r="216" customFormat="false" ht="15" hidden="false" customHeight="false" outlineLevel="0" collapsed="false">
      <c r="A216" s="25" t="s">
        <v>448</v>
      </c>
      <c r="B216" s="25" t="s">
        <v>355</v>
      </c>
      <c r="C216" s="26" t="n">
        <v>46266</v>
      </c>
      <c r="D216" s="27" t="n">
        <v>14661</v>
      </c>
      <c r="E216" s="28" t="n">
        <v>585.3</v>
      </c>
      <c r="F216" s="29" t="n">
        <v>0.0573</v>
      </c>
      <c r="G216" s="29" t="n">
        <v>0.1622</v>
      </c>
      <c r="H216" s="30" t="n">
        <v>11.96</v>
      </c>
      <c r="I216" s="29" t="n">
        <v>0.0223</v>
      </c>
      <c r="J216" s="29" t="n">
        <v>0.0353</v>
      </c>
      <c r="K216" s="29" t="n">
        <v>0.0541</v>
      </c>
      <c r="L216" s="27" t="n">
        <v>16</v>
      </c>
      <c r="M216" s="27" t="n">
        <v>21210</v>
      </c>
      <c r="N216" s="30" t="n">
        <v>44.34</v>
      </c>
      <c r="O216" s="30" t="n">
        <v>10.18</v>
      </c>
      <c r="P216" s="29" t="n">
        <v>0.01</v>
      </c>
      <c r="Q216" s="27" t="n">
        <v>471000</v>
      </c>
      <c r="R216" s="27" t="n">
        <v>139397</v>
      </c>
      <c r="S216" s="27" t="n">
        <v>100942</v>
      </c>
      <c r="T216" s="29" t="n">
        <v>0.767</v>
      </c>
      <c r="U216" s="29" t="n">
        <v>0.302</v>
      </c>
      <c r="V216" s="29" t="n">
        <v>0.845</v>
      </c>
      <c r="W216" s="28" t="n">
        <v>12.9</v>
      </c>
    </row>
    <row r="217" customFormat="false" ht="15" hidden="false" customHeight="false" outlineLevel="0" collapsed="false">
      <c r="A217" s="25" t="s">
        <v>449</v>
      </c>
      <c r="B217" s="25" t="s">
        <v>357</v>
      </c>
      <c r="C217" s="26" t="n">
        <v>45931</v>
      </c>
      <c r="D217" s="27" t="n">
        <v>19997</v>
      </c>
      <c r="E217" s="28" t="n">
        <v>656.5</v>
      </c>
      <c r="F217" s="29" t="n">
        <v>0.0751</v>
      </c>
      <c r="G217" s="29" t="n">
        <v>0.168</v>
      </c>
      <c r="H217" s="30" t="n">
        <v>12.34</v>
      </c>
      <c r="I217" s="29" t="n">
        <v>0.0241</v>
      </c>
      <c r="J217" s="29" t="n">
        <v>0.0219</v>
      </c>
      <c r="K217" s="29" t="n">
        <v>0.0227</v>
      </c>
      <c r="L217" s="27" t="n">
        <v>16</v>
      </c>
      <c r="M217" s="27" t="n">
        <v>21000</v>
      </c>
      <c r="N217" s="30" t="n">
        <v>38.55</v>
      </c>
      <c r="O217" s="30" t="n">
        <v>10.6</v>
      </c>
      <c r="P217" s="29" t="n">
        <v>0.0102</v>
      </c>
      <c r="Q217" s="27" t="n">
        <v>258000</v>
      </c>
      <c r="R217" s="27" t="n">
        <v>135018</v>
      </c>
      <c r="S217" s="27" t="n">
        <v>85374</v>
      </c>
      <c r="T217" s="29" t="n">
        <v>0.708</v>
      </c>
      <c r="U217" s="29" t="n">
        <v>0.254</v>
      </c>
      <c r="V217" s="29" t="n">
        <v>0.89</v>
      </c>
      <c r="W217" s="28" t="n">
        <v>11.5</v>
      </c>
    </row>
    <row r="218" customFormat="false" ht="15" hidden="false" customHeight="false" outlineLevel="0" collapsed="false">
      <c r="A218" s="25" t="s">
        <v>450</v>
      </c>
      <c r="B218" s="25" t="s">
        <v>357</v>
      </c>
      <c r="C218" s="26" t="n">
        <v>45962</v>
      </c>
      <c r="D218" s="27" t="n">
        <v>19286</v>
      </c>
      <c r="E218" s="28" t="n">
        <v>637.9</v>
      </c>
      <c r="F218" s="29" t="n">
        <v>0.073</v>
      </c>
      <c r="G218" s="29" t="n">
        <v>0.1697</v>
      </c>
      <c r="H218" s="30" t="n">
        <v>12.02</v>
      </c>
      <c r="I218" s="29" t="n">
        <v>0.0251</v>
      </c>
      <c r="J218" s="29" t="n">
        <v>0.0226</v>
      </c>
      <c r="K218" s="29" t="n">
        <v>0.0217</v>
      </c>
      <c r="L218" s="27" t="n">
        <v>16</v>
      </c>
      <c r="M218" s="27" t="n">
        <v>21019</v>
      </c>
      <c r="N218" s="30" t="n">
        <v>38.6</v>
      </c>
      <c r="O218" s="30" t="n">
        <v>10.56</v>
      </c>
      <c r="P218" s="29" t="n">
        <v>0.0098</v>
      </c>
      <c r="Q218" s="27" t="n">
        <v>258000</v>
      </c>
      <c r="R218" s="27" t="n">
        <v>142973</v>
      </c>
      <c r="S218" s="27" t="n">
        <v>88934</v>
      </c>
      <c r="T218" s="29" t="n">
        <v>0.689</v>
      </c>
      <c r="U218" s="29" t="n">
        <v>0.233</v>
      </c>
      <c r="V218" s="29" t="n">
        <v>0.878</v>
      </c>
      <c r="W218" s="28" t="n">
        <v>11.7</v>
      </c>
    </row>
    <row r="219" customFormat="false" ht="15" hidden="false" customHeight="false" outlineLevel="0" collapsed="false">
      <c r="A219" s="25" t="s">
        <v>451</v>
      </c>
      <c r="B219" s="25" t="s">
        <v>357</v>
      </c>
      <c r="C219" s="26" t="n">
        <v>45992</v>
      </c>
      <c r="D219" s="27" t="n">
        <v>20564</v>
      </c>
      <c r="E219" s="28" t="n">
        <v>631.3</v>
      </c>
      <c r="F219" s="29" t="n">
        <v>0.0762</v>
      </c>
      <c r="G219" s="29" t="n">
        <v>0.1673</v>
      </c>
      <c r="H219" s="30" t="n">
        <v>11.78</v>
      </c>
      <c r="I219" s="29" t="n">
        <v>0.0248</v>
      </c>
      <c r="J219" s="29" t="n">
        <v>0.0216</v>
      </c>
      <c r="K219" s="29" t="n">
        <v>0.0315</v>
      </c>
      <c r="L219" s="27" t="n">
        <v>16</v>
      </c>
      <c r="M219" s="27" t="n">
        <v>21038</v>
      </c>
      <c r="N219" s="30" t="n">
        <v>37.89</v>
      </c>
      <c r="O219" s="30" t="n">
        <v>10.32</v>
      </c>
      <c r="P219" s="29" t="n">
        <v>0.0102</v>
      </c>
      <c r="Q219" s="27" t="n">
        <v>258000</v>
      </c>
      <c r="R219" s="27" t="n">
        <v>131240</v>
      </c>
      <c r="S219" s="27" t="n">
        <v>88629</v>
      </c>
      <c r="T219" s="29" t="n">
        <v>0.699</v>
      </c>
      <c r="U219" s="29" t="n">
        <v>0.244</v>
      </c>
      <c r="V219" s="29" t="n">
        <v>0.882</v>
      </c>
      <c r="W219" s="28" t="n">
        <v>11.9</v>
      </c>
    </row>
    <row r="220" customFormat="false" ht="15" hidden="false" customHeight="false" outlineLevel="0" collapsed="false">
      <c r="A220" s="25" t="s">
        <v>452</v>
      </c>
      <c r="B220" s="25" t="s">
        <v>357</v>
      </c>
      <c r="C220" s="26" t="n">
        <v>46023</v>
      </c>
      <c r="D220" s="27" t="n">
        <v>19102</v>
      </c>
      <c r="E220" s="28" t="n">
        <v>634.7</v>
      </c>
      <c r="F220" s="29" t="n">
        <v>0.0749</v>
      </c>
      <c r="G220" s="29" t="n">
        <v>0.1676</v>
      </c>
      <c r="H220" s="30" t="n">
        <v>12.58</v>
      </c>
      <c r="I220" s="29" t="n">
        <v>0.0243</v>
      </c>
      <c r="J220" s="29" t="n">
        <v>0.0223</v>
      </c>
      <c r="K220" s="29" t="n">
        <v>0.0249</v>
      </c>
      <c r="L220" s="27" t="n">
        <v>16</v>
      </c>
      <c r="M220" s="27" t="n">
        <v>21057</v>
      </c>
      <c r="N220" s="30" t="n">
        <v>39.18</v>
      </c>
      <c r="O220" s="30" t="n">
        <v>10.4</v>
      </c>
      <c r="P220" s="29" t="n">
        <v>0.0102</v>
      </c>
      <c r="Q220" s="27" t="n">
        <v>258000</v>
      </c>
      <c r="R220" s="27" t="n">
        <v>133964</v>
      </c>
      <c r="S220" s="27" t="n">
        <v>84861</v>
      </c>
      <c r="T220" s="29" t="n">
        <v>0.71</v>
      </c>
      <c r="U220" s="29" t="n">
        <v>0.264</v>
      </c>
      <c r="V220" s="29" t="n">
        <v>0.893</v>
      </c>
      <c r="W220" s="28" t="n">
        <v>11.3</v>
      </c>
    </row>
    <row r="221" customFormat="false" ht="15" hidden="false" customHeight="false" outlineLevel="0" collapsed="false">
      <c r="A221" s="25" t="s">
        <v>453</v>
      </c>
      <c r="B221" s="25" t="s">
        <v>357</v>
      </c>
      <c r="C221" s="26" t="n">
        <v>46054</v>
      </c>
      <c r="D221" s="27" t="n">
        <v>20088</v>
      </c>
      <c r="E221" s="28" t="n">
        <v>636.4</v>
      </c>
      <c r="F221" s="29" t="n">
        <v>0.0793</v>
      </c>
      <c r="G221" s="29" t="n">
        <v>0.1682</v>
      </c>
      <c r="H221" s="30" t="n">
        <v>11.81</v>
      </c>
      <c r="I221" s="29" t="n">
        <v>0.0263</v>
      </c>
      <c r="J221" s="29" t="n">
        <v>0.0217</v>
      </c>
      <c r="K221" s="29" t="n">
        <v>0.0286</v>
      </c>
      <c r="L221" s="27" t="n">
        <v>16</v>
      </c>
      <c r="M221" s="27" t="n">
        <v>21076</v>
      </c>
      <c r="N221" s="30" t="n">
        <v>38.19</v>
      </c>
      <c r="O221" s="30" t="n">
        <v>10.24</v>
      </c>
      <c r="P221" s="29" t="n">
        <v>0.0103</v>
      </c>
      <c r="Q221" s="27" t="n">
        <v>258000</v>
      </c>
      <c r="R221" s="27" t="n">
        <v>149152</v>
      </c>
      <c r="S221" s="27" t="n">
        <v>108131</v>
      </c>
      <c r="T221" s="29" t="n">
        <v>0.7</v>
      </c>
      <c r="U221" s="29" t="n">
        <v>0.249</v>
      </c>
      <c r="V221" s="29" t="n">
        <v>0.884</v>
      </c>
      <c r="W221" s="28" t="n">
        <v>12.2</v>
      </c>
    </row>
    <row r="222" customFormat="false" ht="15" hidden="false" customHeight="false" outlineLevel="0" collapsed="false">
      <c r="A222" s="25" t="s">
        <v>454</v>
      </c>
      <c r="B222" s="25" t="s">
        <v>357</v>
      </c>
      <c r="C222" s="26" t="n">
        <v>46082</v>
      </c>
      <c r="D222" s="27" t="n">
        <v>22937</v>
      </c>
      <c r="E222" s="28" t="n">
        <v>641.7</v>
      </c>
      <c r="F222" s="29" t="n">
        <v>0.073</v>
      </c>
      <c r="G222" s="29" t="n">
        <v>0.1668</v>
      </c>
      <c r="H222" s="30" t="n">
        <v>12.13</v>
      </c>
      <c r="I222" s="29" t="n">
        <v>0.0252</v>
      </c>
      <c r="J222" s="29" t="n">
        <v>0.0195</v>
      </c>
      <c r="K222" s="29" t="n">
        <v>0.0291</v>
      </c>
      <c r="L222" s="27" t="n">
        <v>17</v>
      </c>
      <c r="M222" s="27" t="n">
        <v>21095</v>
      </c>
      <c r="N222" s="30" t="n">
        <v>38.03</v>
      </c>
      <c r="O222" s="30" t="n">
        <v>10.65</v>
      </c>
      <c r="P222" s="29" t="n">
        <v>0.0093</v>
      </c>
      <c r="Q222" s="27" t="n">
        <v>258000</v>
      </c>
      <c r="R222" s="27" t="n">
        <v>130247</v>
      </c>
      <c r="S222" s="27" t="n">
        <v>100730</v>
      </c>
      <c r="T222" s="29" t="n">
        <v>0.683</v>
      </c>
      <c r="U222" s="29" t="n">
        <v>0.254</v>
      </c>
      <c r="V222" s="29" t="n">
        <v>0.883</v>
      </c>
      <c r="W222" s="28" t="n">
        <v>11.7</v>
      </c>
    </row>
    <row r="223" customFormat="false" ht="15" hidden="false" customHeight="false" outlineLevel="0" collapsed="false">
      <c r="A223" s="25" t="s">
        <v>455</v>
      </c>
      <c r="B223" s="25" t="s">
        <v>357</v>
      </c>
      <c r="C223" s="26" t="n">
        <v>46113</v>
      </c>
      <c r="D223" s="27" t="n">
        <v>21004</v>
      </c>
      <c r="E223" s="28" t="n">
        <v>632</v>
      </c>
      <c r="F223" s="29" t="n">
        <v>0.0768</v>
      </c>
      <c r="G223" s="29" t="n">
        <v>0.1673</v>
      </c>
      <c r="H223" s="30" t="n">
        <v>11.74</v>
      </c>
      <c r="I223" s="29" t="n">
        <v>0.0254</v>
      </c>
      <c r="J223" s="29" t="n">
        <v>0.0195</v>
      </c>
      <c r="K223" s="29" t="n">
        <v>0.0246</v>
      </c>
      <c r="L223" s="27" t="n">
        <v>16</v>
      </c>
      <c r="M223" s="27" t="n">
        <v>21115</v>
      </c>
      <c r="N223" s="30" t="n">
        <v>38.03</v>
      </c>
      <c r="O223" s="30" t="n">
        <v>10.36</v>
      </c>
      <c r="P223" s="29" t="n">
        <v>0.01</v>
      </c>
      <c r="Q223" s="27" t="n">
        <v>258000</v>
      </c>
      <c r="R223" s="27" t="n">
        <v>135982</v>
      </c>
      <c r="S223" s="27" t="n">
        <v>82456</v>
      </c>
      <c r="T223" s="29" t="n">
        <v>0.698</v>
      </c>
      <c r="U223" s="29" t="n">
        <v>0.251</v>
      </c>
      <c r="V223" s="29" t="n">
        <v>0.894</v>
      </c>
      <c r="W223" s="28" t="n">
        <v>11.5</v>
      </c>
    </row>
    <row r="224" customFormat="false" ht="15" hidden="false" customHeight="false" outlineLevel="0" collapsed="false">
      <c r="A224" s="25" t="s">
        <v>456</v>
      </c>
      <c r="B224" s="25" t="s">
        <v>357</v>
      </c>
      <c r="C224" s="26" t="n">
        <v>46143</v>
      </c>
      <c r="D224" s="27" t="n">
        <v>23606</v>
      </c>
      <c r="E224" s="28" t="n">
        <v>643</v>
      </c>
      <c r="F224" s="29" t="n">
        <v>0.077</v>
      </c>
      <c r="G224" s="29" t="n">
        <v>0.1685</v>
      </c>
      <c r="H224" s="30" t="n">
        <v>11.75</v>
      </c>
      <c r="I224" s="29" t="n">
        <v>0.0258</v>
      </c>
      <c r="J224" s="29" t="n">
        <v>0.0191</v>
      </c>
      <c r="K224" s="29" t="n">
        <v>0.0281</v>
      </c>
      <c r="L224" s="27" t="n">
        <v>18</v>
      </c>
      <c r="M224" s="27" t="n">
        <v>21134</v>
      </c>
      <c r="N224" s="30" t="n">
        <v>36.81</v>
      </c>
      <c r="O224" s="30" t="n">
        <v>10.64</v>
      </c>
      <c r="P224" s="29" t="n">
        <v>0.0104</v>
      </c>
      <c r="Q224" s="27" t="n">
        <v>258000</v>
      </c>
      <c r="R224" s="27" t="n">
        <v>134788</v>
      </c>
      <c r="S224" s="27" t="n">
        <v>98825</v>
      </c>
      <c r="T224" s="29" t="n">
        <v>0.701</v>
      </c>
      <c r="U224" s="29" t="n">
        <v>0.244</v>
      </c>
      <c r="V224" s="29" t="n">
        <v>0.873</v>
      </c>
      <c r="W224" s="28" t="n">
        <v>12</v>
      </c>
    </row>
    <row r="225" customFormat="false" ht="15" hidden="false" customHeight="false" outlineLevel="0" collapsed="false">
      <c r="A225" s="25" t="s">
        <v>457</v>
      </c>
      <c r="B225" s="25" t="s">
        <v>357</v>
      </c>
      <c r="C225" s="26" t="n">
        <v>46174</v>
      </c>
      <c r="D225" s="27" t="n">
        <v>21824</v>
      </c>
      <c r="E225" s="28" t="n">
        <v>646.5</v>
      </c>
      <c r="F225" s="29" t="n">
        <v>0.0752</v>
      </c>
      <c r="G225" s="29" t="n">
        <v>0.1656</v>
      </c>
      <c r="H225" s="30" t="n">
        <v>12.34</v>
      </c>
      <c r="I225" s="29" t="n">
        <v>0.024</v>
      </c>
      <c r="J225" s="29" t="n">
        <v>0.0207</v>
      </c>
      <c r="K225" s="29" t="n">
        <v>0.0276</v>
      </c>
      <c r="L225" s="27" t="n">
        <v>17</v>
      </c>
      <c r="M225" s="27" t="n">
        <v>21153</v>
      </c>
      <c r="N225" s="30" t="n">
        <v>37.57</v>
      </c>
      <c r="O225" s="30" t="n">
        <v>10.24</v>
      </c>
      <c r="P225" s="29" t="n">
        <v>0.0101</v>
      </c>
      <c r="Q225" s="27" t="n">
        <v>258000</v>
      </c>
      <c r="R225" s="27" t="n">
        <v>140752</v>
      </c>
      <c r="S225" s="27" t="n">
        <v>99933</v>
      </c>
      <c r="T225" s="29" t="n">
        <v>0.693</v>
      </c>
      <c r="U225" s="29" t="n">
        <v>0.238</v>
      </c>
      <c r="V225" s="29" t="n">
        <v>0.898</v>
      </c>
      <c r="W225" s="28" t="n">
        <v>11.4</v>
      </c>
    </row>
    <row r="226" customFormat="false" ht="15" hidden="false" customHeight="false" outlineLevel="0" collapsed="false">
      <c r="A226" s="25" t="s">
        <v>458</v>
      </c>
      <c r="B226" s="25" t="s">
        <v>357</v>
      </c>
      <c r="C226" s="26" t="n">
        <v>46204</v>
      </c>
      <c r="D226" s="27" t="n">
        <v>22670</v>
      </c>
      <c r="E226" s="28" t="n">
        <v>619.9</v>
      </c>
      <c r="F226" s="29" t="n">
        <v>0.0715</v>
      </c>
      <c r="G226" s="29" t="n">
        <v>0.1671</v>
      </c>
      <c r="H226" s="30" t="n">
        <v>11.79</v>
      </c>
      <c r="I226" s="29" t="n">
        <v>0.0241</v>
      </c>
      <c r="J226" s="29" t="n">
        <v>0.0201</v>
      </c>
      <c r="K226" s="29" t="n">
        <v>0.0264</v>
      </c>
      <c r="L226" s="27" t="n">
        <v>18</v>
      </c>
      <c r="M226" s="27" t="n">
        <v>21172</v>
      </c>
      <c r="N226" s="30" t="n">
        <v>37.64</v>
      </c>
      <c r="O226" s="30" t="n">
        <v>10.5</v>
      </c>
      <c r="P226" s="29" t="n">
        <v>0.0099</v>
      </c>
      <c r="Q226" s="27" t="n">
        <v>258000</v>
      </c>
      <c r="R226" s="27" t="n">
        <v>142388</v>
      </c>
      <c r="S226" s="27" t="n">
        <v>83286</v>
      </c>
      <c r="T226" s="29" t="n">
        <v>0.721</v>
      </c>
      <c r="U226" s="29" t="n">
        <v>0.254</v>
      </c>
      <c r="V226" s="29" t="n">
        <v>0.884</v>
      </c>
      <c r="W226" s="28" t="n">
        <v>11.6</v>
      </c>
    </row>
    <row r="227" customFormat="false" ht="15" hidden="false" customHeight="false" outlineLevel="0" collapsed="false">
      <c r="A227" s="25" t="s">
        <v>459</v>
      </c>
      <c r="B227" s="25" t="s">
        <v>357</v>
      </c>
      <c r="C227" s="26" t="n">
        <v>46235</v>
      </c>
      <c r="D227" s="27" t="n">
        <v>22340</v>
      </c>
      <c r="E227" s="28" t="n">
        <v>633.5</v>
      </c>
      <c r="F227" s="29" t="n">
        <v>0.0766</v>
      </c>
      <c r="G227" s="29" t="n">
        <v>0.1699</v>
      </c>
      <c r="H227" s="30" t="n">
        <v>12.22</v>
      </c>
      <c r="I227" s="29" t="n">
        <v>0.0238</v>
      </c>
      <c r="J227" s="29" t="n">
        <v>0.0207</v>
      </c>
      <c r="K227" s="29" t="n">
        <v>0.0265</v>
      </c>
      <c r="L227" s="27" t="n">
        <v>17</v>
      </c>
      <c r="M227" s="27" t="n">
        <v>21191</v>
      </c>
      <c r="N227" s="30" t="n">
        <v>37.31</v>
      </c>
      <c r="O227" s="30" t="n">
        <v>10.37</v>
      </c>
      <c r="P227" s="29" t="n">
        <v>0.01</v>
      </c>
      <c r="Q227" s="27" t="n">
        <v>258000</v>
      </c>
      <c r="R227" s="27" t="n">
        <v>135979</v>
      </c>
      <c r="S227" s="27" t="n">
        <v>86441</v>
      </c>
      <c r="T227" s="29" t="n">
        <v>0.691</v>
      </c>
      <c r="U227" s="29" t="n">
        <v>0.244</v>
      </c>
      <c r="V227" s="29" t="n">
        <v>0.886</v>
      </c>
      <c r="W227" s="28" t="n">
        <v>11.4</v>
      </c>
    </row>
    <row r="228" customFormat="false" ht="15" hidden="false" customHeight="false" outlineLevel="0" collapsed="false">
      <c r="A228" s="25" t="s">
        <v>460</v>
      </c>
      <c r="B228" s="25" t="s">
        <v>357</v>
      </c>
      <c r="C228" s="26" t="n">
        <v>46266</v>
      </c>
      <c r="D228" s="27" t="n">
        <v>22642</v>
      </c>
      <c r="E228" s="28" t="n">
        <v>641.4</v>
      </c>
      <c r="F228" s="29" t="n">
        <v>0.0771</v>
      </c>
      <c r="G228" s="29" t="n">
        <v>0.168</v>
      </c>
      <c r="H228" s="30" t="n">
        <v>11.04</v>
      </c>
      <c r="I228" s="29" t="n">
        <v>0.0239</v>
      </c>
      <c r="J228" s="29" t="n">
        <v>0.0193</v>
      </c>
      <c r="K228" s="29" t="n">
        <v>0.0199</v>
      </c>
      <c r="L228" s="27" t="n">
        <v>17</v>
      </c>
      <c r="M228" s="27" t="n">
        <v>21210</v>
      </c>
      <c r="N228" s="30" t="n">
        <v>37.03</v>
      </c>
      <c r="O228" s="30" t="n">
        <v>10.25</v>
      </c>
      <c r="P228" s="29" t="n">
        <v>0.0106</v>
      </c>
      <c r="Q228" s="27" t="n">
        <v>258000</v>
      </c>
      <c r="R228" s="27" t="n">
        <v>130577</v>
      </c>
      <c r="S228" s="27" t="n">
        <v>89620</v>
      </c>
      <c r="T228" s="29" t="n">
        <v>0.691</v>
      </c>
      <c r="U228" s="29" t="n">
        <v>0.248</v>
      </c>
      <c r="V228" s="29" t="n">
        <v>0.903</v>
      </c>
      <c r="W228" s="28" t="n">
        <v>12</v>
      </c>
    </row>
    <row r="229" customFormat="false" ht="15" hidden="false" customHeight="false" outlineLevel="0" collapsed="false">
      <c r="A229" s="25" t="s">
        <v>461</v>
      </c>
      <c r="B229" s="25" t="s">
        <v>359</v>
      </c>
      <c r="C229" s="26" t="n">
        <v>45931</v>
      </c>
      <c r="D229" s="27" t="n">
        <v>29695</v>
      </c>
      <c r="E229" s="28" t="n">
        <v>646</v>
      </c>
      <c r="F229" s="29" t="n">
        <v>0.0561</v>
      </c>
      <c r="G229" s="29" t="n">
        <v>0.1699</v>
      </c>
      <c r="H229" s="30" t="n">
        <v>12.27</v>
      </c>
      <c r="I229" s="29" t="n">
        <v>0.0282</v>
      </c>
      <c r="J229" s="29" t="n">
        <v>0.022</v>
      </c>
      <c r="K229" s="29" t="n">
        <v>0.0336</v>
      </c>
      <c r="L229" s="27" t="n">
        <v>33</v>
      </c>
      <c r="M229" s="27" t="n">
        <v>21000</v>
      </c>
      <c r="N229" s="30" t="n">
        <v>38.81</v>
      </c>
      <c r="O229" s="30" t="n">
        <v>9.83</v>
      </c>
      <c r="P229" s="29" t="n">
        <v>0.0102</v>
      </c>
      <c r="Q229" s="27" t="n">
        <v>626500</v>
      </c>
      <c r="R229" s="27" t="n">
        <v>153594</v>
      </c>
      <c r="S229" s="27" t="n">
        <v>240455</v>
      </c>
      <c r="T229" s="29" t="n">
        <v>0.744</v>
      </c>
      <c r="U229" s="29" t="n">
        <v>0.293</v>
      </c>
      <c r="V229" s="29" t="n">
        <v>0.862</v>
      </c>
      <c r="W229" s="28" t="n">
        <v>12.9</v>
      </c>
    </row>
    <row r="230" customFormat="false" ht="15" hidden="false" customHeight="false" outlineLevel="0" collapsed="false">
      <c r="A230" s="25" t="s">
        <v>462</v>
      </c>
      <c r="B230" s="25" t="s">
        <v>359</v>
      </c>
      <c r="C230" s="26" t="n">
        <v>45962</v>
      </c>
      <c r="D230" s="27" t="n">
        <v>32120</v>
      </c>
      <c r="E230" s="28" t="n">
        <v>659.1</v>
      </c>
      <c r="F230" s="29" t="n">
        <v>0.0566</v>
      </c>
      <c r="G230" s="29" t="n">
        <v>0.171</v>
      </c>
      <c r="H230" s="30" t="n">
        <v>12.41</v>
      </c>
      <c r="I230" s="29" t="n">
        <v>0.0282</v>
      </c>
      <c r="J230" s="29" t="n">
        <v>0.0212</v>
      </c>
      <c r="K230" s="29" t="n">
        <v>0.0357</v>
      </c>
      <c r="L230" s="27" t="n">
        <v>34</v>
      </c>
      <c r="M230" s="27" t="n">
        <v>21019</v>
      </c>
      <c r="N230" s="30" t="n">
        <v>37.72</v>
      </c>
      <c r="O230" s="30" t="n">
        <v>10.14</v>
      </c>
      <c r="P230" s="29" t="n">
        <v>0.0093</v>
      </c>
      <c r="Q230" s="27" t="n">
        <v>626500</v>
      </c>
      <c r="R230" s="27" t="n">
        <v>146737</v>
      </c>
      <c r="S230" s="27" t="n">
        <v>289068</v>
      </c>
      <c r="T230" s="29" t="n">
        <v>0.746</v>
      </c>
      <c r="U230" s="29" t="n">
        <v>0.282</v>
      </c>
      <c r="V230" s="29" t="n">
        <v>0.878</v>
      </c>
      <c r="W230" s="28" t="n">
        <v>11.6</v>
      </c>
    </row>
    <row r="231" customFormat="false" ht="15" hidden="false" customHeight="false" outlineLevel="0" collapsed="false">
      <c r="A231" s="25" t="s">
        <v>463</v>
      </c>
      <c r="B231" s="25" t="s">
        <v>359</v>
      </c>
      <c r="C231" s="26" t="n">
        <v>45992</v>
      </c>
      <c r="D231" s="27" t="n">
        <v>33703</v>
      </c>
      <c r="E231" s="28" t="n">
        <v>634.3</v>
      </c>
      <c r="F231" s="29" t="n">
        <v>0.0566</v>
      </c>
      <c r="G231" s="29" t="n">
        <v>0.1661</v>
      </c>
      <c r="H231" s="30" t="n">
        <v>12.24</v>
      </c>
      <c r="I231" s="29" t="n">
        <v>0.0307</v>
      </c>
      <c r="J231" s="29" t="n">
        <v>0.0217</v>
      </c>
      <c r="K231" s="29" t="n">
        <v>0.0333</v>
      </c>
      <c r="L231" s="27" t="n">
        <v>35</v>
      </c>
      <c r="M231" s="27" t="n">
        <v>21038</v>
      </c>
      <c r="N231" s="30" t="n">
        <v>37.39</v>
      </c>
      <c r="O231" s="30" t="n">
        <v>10.15</v>
      </c>
      <c r="P231" s="29" t="n">
        <v>0.0099</v>
      </c>
      <c r="Q231" s="27" t="n">
        <v>626500</v>
      </c>
      <c r="R231" s="27" t="n">
        <v>162361</v>
      </c>
      <c r="S231" s="27" t="n">
        <v>235936</v>
      </c>
      <c r="T231" s="29" t="n">
        <v>0.771</v>
      </c>
      <c r="U231" s="29" t="n">
        <v>0.286</v>
      </c>
      <c r="V231" s="29" t="n">
        <v>0.865</v>
      </c>
      <c r="W231" s="28" t="n">
        <v>12.5</v>
      </c>
    </row>
    <row r="232" customFormat="false" ht="15" hidden="false" customHeight="false" outlineLevel="0" collapsed="false">
      <c r="A232" s="25" t="s">
        <v>464</v>
      </c>
      <c r="B232" s="25" t="s">
        <v>359</v>
      </c>
      <c r="C232" s="26" t="n">
        <v>46023</v>
      </c>
      <c r="D232" s="27" t="n">
        <v>31003</v>
      </c>
      <c r="E232" s="28" t="n">
        <v>650.8</v>
      </c>
      <c r="F232" s="29" t="n">
        <v>0.0568</v>
      </c>
      <c r="G232" s="29" t="n">
        <v>0.1701</v>
      </c>
      <c r="H232" s="30" t="n">
        <v>12.77</v>
      </c>
      <c r="I232" s="29" t="n">
        <v>0.0274</v>
      </c>
      <c r="J232" s="29" t="n">
        <v>0.0204</v>
      </c>
      <c r="K232" s="29" t="n">
        <v>0.0444</v>
      </c>
      <c r="L232" s="27" t="n">
        <v>32</v>
      </c>
      <c r="M232" s="27" t="n">
        <v>21057</v>
      </c>
      <c r="N232" s="30" t="n">
        <v>37.75</v>
      </c>
      <c r="O232" s="30" t="n">
        <v>10.54</v>
      </c>
      <c r="P232" s="29" t="n">
        <v>0.0099</v>
      </c>
      <c r="Q232" s="27" t="n">
        <v>626500</v>
      </c>
      <c r="R232" s="27" t="n">
        <v>147793</v>
      </c>
      <c r="S232" s="27" t="n">
        <v>214102</v>
      </c>
      <c r="T232" s="29" t="n">
        <v>0.767</v>
      </c>
      <c r="U232" s="29" t="n">
        <v>0.281</v>
      </c>
      <c r="V232" s="29" t="n">
        <v>0.833</v>
      </c>
      <c r="W232" s="28" t="n">
        <v>12.6</v>
      </c>
    </row>
    <row r="233" customFormat="false" ht="15" hidden="false" customHeight="false" outlineLevel="0" collapsed="false">
      <c r="A233" s="25" t="s">
        <v>465</v>
      </c>
      <c r="B233" s="25" t="s">
        <v>359</v>
      </c>
      <c r="C233" s="26" t="n">
        <v>46054</v>
      </c>
      <c r="D233" s="27" t="n">
        <v>32009</v>
      </c>
      <c r="E233" s="28" t="n">
        <v>653.3</v>
      </c>
      <c r="F233" s="29" t="n">
        <v>0.0548</v>
      </c>
      <c r="G233" s="29" t="n">
        <v>0.1688</v>
      </c>
      <c r="H233" s="30" t="n">
        <v>12.94</v>
      </c>
      <c r="I233" s="29" t="n">
        <v>0.0298</v>
      </c>
      <c r="J233" s="29" t="n">
        <v>0.0217</v>
      </c>
      <c r="K233" s="29" t="n">
        <v>0.0394</v>
      </c>
      <c r="L233" s="27" t="n">
        <v>37</v>
      </c>
      <c r="M233" s="27" t="n">
        <v>21076</v>
      </c>
      <c r="N233" s="30" t="n">
        <v>39.11</v>
      </c>
      <c r="O233" s="30" t="n">
        <v>10.19</v>
      </c>
      <c r="P233" s="29" t="n">
        <v>0.0096</v>
      </c>
      <c r="Q233" s="27" t="n">
        <v>626500</v>
      </c>
      <c r="R233" s="27" t="n">
        <v>146554</v>
      </c>
      <c r="S233" s="27" t="n">
        <v>234221</v>
      </c>
      <c r="T233" s="29" t="n">
        <v>0.822</v>
      </c>
      <c r="U233" s="29" t="n">
        <v>0.284</v>
      </c>
      <c r="V233" s="29" t="n">
        <v>0.868</v>
      </c>
      <c r="W233" s="28" t="n">
        <v>11.8</v>
      </c>
    </row>
    <row r="234" customFormat="false" ht="15" hidden="false" customHeight="false" outlineLevel="0" collapsed="false">
      <c r="A234" s="25" t="s">
        <v>466</v>
      </c>
      <c r="B234" s="25" t="s">
        <v>359</v>
      </c>
      <c r="C234" s="26" t="n">
        <v>46082</v>
      </c>
      <c r="D234" s="27" t="n">
        <v>34470</v>
      </c>
      <c r="E234" s="28" t="n">
        <v>641.9</v>
      </c>
      <c r="F234" s="29" t="n">
        <v>0.0555</v>
      </c>
      <c r="G234" s="29" t="n">
        <v>0.1667</v>
      </c>
      <c r="H234" s="30" t="n">
        <v>11.82</v>
      </c>
      <c r="I234" s="29" t="n">
        <v>0.0298</v>
      </c>
      <c r="J234" s="29" t="n">
        <v>0.0214</v>
      </c>
      <c r="K234" s="29" t="n">
        <v>0.0389</v>
      </c>
      <c r="L234" s="27" t="n">
        <v>35</v>
      </c>
      <c r="M234" s="27" t="n">
        <v>21095</v>
      </c>
      <c r="N234" s="30" t="n">
        <v>37.79</v>
      </c>
      <c r="O234" s="30" t="n">
        <v>10.08</v>
      </c>
      <c r="P234" s="29" t="n">
        <v>0.0099</v>
      </c>
      <c r="Q234" s="27" t="n">
        <v>626500</v>
      </c>
      <c r="R234" s="27" t="n">
        <v>154475</v>
      </c>
      <c r="S234" s="27" t="n">
        <v>237049</v>
      </c>
      <c r="T234" s="29" t="n">
        <v>0.809</v>
      </c>
      <c r="U234" s="29" t="n">
        <v>0.283</v>
      </c>
      <c r="V234" s="29" t="n">
        <v>0.859</v>
      </c>
      <c r="W234" s="28" t="n">
        <v>12.8</v>
      </c>
    </row>
    <row r="235" customFormat="false" ht="15" hidden="false" customHeight="false" outlineLevel="0" collapsed="false">
      <c r="A235" s="25" t="s">
        <v>467</v>
      </c>
      <c r="B235" s="25" t="s">
        <v>359</v>
      </c>
      <c r="C235" s="26" t="n">
        <v>46113</v>
      </c>
      <c r="D235" s="27" t="n">
        <v>34300</v>
      </c>
      <c r="E235" s="28" t="n">
        <v>635</v>
      </c>
      <c r="F235" s="29" t="n">
        <v>0.0537</v>
      </c>
      <c r="G235" s="29" t="n">
        <v>0.1705</v>
      </c>
      <c r="H235" s="30" t="n">
        <v>11.81</v>
      </c>
      <c r="I235" s="29" t="n">
        <v>0.0293</v>
      </c>
      <c r="J235" s="29" t="n">
        <v>0.0222</v>
      </c>
      <c r="K235" s="29" t="n">
        <v>0.0419</v>
      </c>
      <c r="L235" s="27" t="n">
        <v>37</v>
      </c>
      <c r="M235" s="27" t="n">
        <v>21115</v>
      </c>
      <c r="N235" s="30" t="n">
        <v>37.79</v>
      </c>
      <c r="O235" s="30" t="n">
        <v>10.68</v>
      </c>
      <c r="P235" s="29" t="n">
        <v>0.0103</v>
      </c>
      <c r="Q235" s="27" t="n">
        <v>626500</v>
      </c>
      <c r="R235" s="27" t="n">
        <v>154269</v>
      </c>
      <c r="S235" s="27" t="n">
        <v>201191</v>
      </c>
      <c r="T235" s="29" t="n">
        <v>0.802</v>
      </c>
      <c r="U235" s="29" t="n">
        <v>0.284</v>
      </c>
      <c r="V235" s="29" t="n">
        <v>0.879</v>
      </c>
      <c r="W235" s="28" t="n">
        <v>11.3</v>
      </c>
    </row>
    <row r="236" customFormat="false" ht="15" hidden="false" customHeight="false" outlineLevel="0" collapsed="false">
      <c r="A236" s="25" t="s">
        <v>468</v>
      </c>
      <c r="B236" s="25" t="s">
        <v>359</v>
      </c>
      <c r="C236" s="26" t="n">
        <v>46143</v>
      </c>
      <c r="D236" s="27" t="n">
        <v>41091</v>
      </c>
      <c r="E236" s="28" t="n">
        <v>641.6</v>
      </c>
      <c r="F236" s="29" t="n">
        <v>0.0588</v>
      </c>
      <c r="G236" s="29" t="n">
        <v>0.171</v>
      </c>
      <c r="H236" s="30" t="n">
        <v>12.68</v>
      </c>
      <c r="I236" s="29" t="n">
        <v>0.0315</v>
      </c>
      <c r="J236" s="29" t="n">
        <v>0.0224</v>
      </c>
      <c r="K236" s="29" t="n">
        <v>0.0424</v>
      </c>
      <c r="L236" s="27" t="n">
        <v>43</v>
      </c>
      <c r="M236" s="27" t="n">
        <v>21134</v>
      </c>
      <c r="N236" s="30" t="n">
        <v>38.01</v>
      </c>
      <c r="O236" s="30" t="n">
        <v>10.11</v>
      </c>
      <c r="P236" s="29" t="n">
        <v>0.0097</v>
      </c>
      <c r="Q236" s="27" t="n">
        <v>626500</v>
      </c>
      <c r="R236" s="27" t="n">
        <v>146759</v>
      </c>
      <c r="S236" s="27" t="n">
        <v>264069</v>
      </c>
      <c r="T236" s="29" t="n">
        <v>0.8</v>
      </c>
      <c r="U236" s="29" t="n">
        <v>0.291</v>
      </c>
      <c r="V236" s="29" t="n">
        <v>0.849</v>
      </c>
      <c r="W236" s="28" t="n">
        <v>12.3</v>
      </c>
    </row>
    <row r="237" customFormat="false" ht="15" hidden="false" customHeight="false" outlineLevel="0" collapsed="false">
      <c r="A237" s="25" t="s">
        <v>469</v>
      </c>
      <c r="B237" s="25" t="s">
        <v>359</v>
      </c>
      <c r="C237" s="26" t="n">
        <v>46174</v>
      </c>
      <c r="D237" s="27" t="n">
        <v>38662</v>
      </c>
      <c r="E237" s="28" t="n">
        <v>644.7</v>
      </c>
      <c r="F237" s="29" t="n">
        <v>0.0539</v>
      </c>
      <c r="G237" s="29" t="n">
        <v>0.1674</v>
      </c>
      <c r="H237" s="30" t="n">
        <v>12.79</v>
      </c>
      <c r="I237" s="29" t="n">
        <v>0.0295</v>
      </c>
      <c r="J237" s="29" t="n">
        <v>0.0221</v>
      </c>
      <c r="K237" s="29" t="n">
        <v>0.0401</v>
      </c>
      <c r="L237" s="27" t="n">
        <v>41</v>
      </c>
      <c r="M237" s="27" t="n">
        <v>21153</v>
      </c>
      <c r="N237" s="30" t="n">
        <v>37.78</v>
      </c>
      <c r="O237" s="30" t="n">
        <v>10.35</v>
      </c>
      <c r="P237" s="29" t="n">
        <v>0.0099</v>
      </c>
      <c r="Q237" s="27" t="n">
        <v>626500</v>
      </c>
      <c r="R237" s="27" t="n">
        <v>150969</v>
      </c>
      <c r="S237" s="27" t="n">
        <v>206736</v>
      </c>
      <c r="T237" s="29" t="n">
        <v>0.811</v>
      </c>
      <c r="U237" s="29" t="n">
        <v>0.282</v>
      </c>
      <c r="V237" s="29" t="n">
        <v>0.876</v>
      </c>
      <c r="W237" s="28" t="n">
        <v>11.6</v>
      </c>
    </row>
    <row r="238" customFormat="false" ht="15" hidden="false" customHeight="false" outlineLevel="0" collapsed="false">
      <c r="A238" s="25" t="s">
        <v>470</v>
      </c>
      <c r="B238" s="25" t="s">
        <v>359</v>
      </c>
      <c r="C238" s="26" t="n">
        <v>46204</v>
      </c>
      <c r="D238" s="27" t="n">
        <v>35221</v>
      </c>
      <c r="E238" s="28" t="n">
        <v>650.7</v>
      </c>
      <c r="F238" s="29" t="n">
        <v>0.0561</v>
      </c>
      <c r="G238" s="29" t="n">
        <v>0.1695</v>
      </c>
      <c r="H238" s="30" t="n">
        <v>12.99</v>
      </c>
      <c r="I238" s="29" t="n">
        <v>0.0282</v>
      </c>
      <c r="J238" s="29" t="n">
        <v>0.0216</v>
      </c>
      <c r="K238" s="29" t="n">
        <v>0.0357</v>
      </c>
      <c r="L238" s="27" t="n">
        <v>36</v>
      </c>
      <c r="M238" s="27" t="n">
        <v>21172</v>
      </c>
      <c r="N238" s="30" t="n">
        <v>37.69</v>
      </c>
      <c r="O238" s="30" t="n">
        <v>10.7</v>
      </c>
      <c r="P238" s="29" t="n">
        <v>0.0099</v>
      </c>
      <c r="Q238" s="27" t="n">
        <v>626500</v>
      </c>
      <c r="R238" s="27" t="n">
        <v>156523</v>
      </c>
      <c r="S238" s="27" t="n">
        <v>186148</v>
      </c>
      <c r="T238" s="29" t="n">
        <v>0.798</v>
      </c>
      <c r="U238" s="29" t="n">
        <v>0.29</v>
      </c>
      <c r="V238" s="29" t="n">
        <v>0.874</v>
      </c>
      <c r="W238" s="28" t="n">
        <v>12</v>
      </c>
    </row>
    <row r="239" customFormat="false" ht="15" hidden="false" customHeight="false" outlineLevel="0" collapsed="false">
      <c r="A239" s="25" t="s">
        <v>471</v>
      </c>
      <c r="B239" s="25" t="s">
        <v>359</v>
      </c>
      <c r="C239" s="26" t="n">
        <v>46235</v>
      </c>
      <c r="D239" s="27" t="n">
        <v>39351</v>
      </c>
      <c r="E239" s="28" t="n">
        <v>643.4</v>
      </c>
      <c r="F239" s="29" t="n">
        <v>0.051</v>
      </c>
      <c r="G239" s="29" t="n">
        <v>0.1658</v>
      </c>
      <c r="H239" s="30" t="n">
        <v>12.38</v>
      </c>
      <c r="I239" s="29" t="n">
        <v>0.0303</v>
      </c>
      <c r="J239" s="29" t="n">
        <v>0.0215</v>
      </c>
      <c r="K239" s="29" t="n">
        <v>0.041</v>
      </c>
      <c r="L239" s="27" t="n">
        <v>43</v>
      </c>
      <c r="M239" s="27" t="n">
        <v>21191</v>
      </c>
      <c r="N239" s="30" t="n">
        <v>37.47</v>
      </c>
      <c r="O239" s="30" t="n">
        <v>10.17</v>
      </c>
      <c r="P239" s="29" t="n">
        <v>0.0103</v>
      </c>
      <c r="Q239" s="27" t="n">
        <v>626500</v>
      </c>
      <c r="R239" s="27" t="n">
        <v>154569</v>
      </c>
      <c r="S239" s="27" t="n">
        <v>191343</v>
      </c>
      <c r="T239" s="29" t="n">
        <v>0.787</v>
      </c>
      <c r="U239" s="29" t="n">
        <v>0.279</v>
      </c>
      <c r="V239" s="29" t="n">
        <v>0.868</v>
      </c>
      <c r="W239" s="28" t="n">
        <v>11.8</v>
      </c>
    </row>
    <row r="240" customFormat="false" ht="15" hidden="false" customHeight="false" outlineLevel="0" collapsed="false">
      <c r="A240" s="25" t="s">
        <v>472</v>
      </c>
      <c r="B240" s="25" t="s">
        <v>359</v>
      </c>
      <c r="C240" s="26" t="n">
        <v>46266</v>
      </c>
      <c r="D240" s="27" t="n">
        <v>39550</v>
      </c>
      <c r="E240" s="28" t="n">
        <v>666</v>
      </c>
      <c r="F240" s="29" t="n">
        <v>0.0534</v>
      </c>
      <c r="G240" s="29" t="n">
        <v>0.1714</v>
      </c>
      <c r="H240" s="30" t="n">
        <v>12.35</v>
      </c>
      <c r="I240" s="29" t="n">
        <v>0.0328</v>
      </c>
      <c r="J240" s="29" t="n">
        <v>0.0213</v>
      </c>
      <c r="K240" s="29" t="n">
        <v>0.0387</v>
      </c>
      <c r="L240" s="27" t="n">
        <v>41</v>
      </c>
      <c r="M240" s="27" t="n">
        <v>21210</v>
      </c>
      <c r="N240" s="30" t="n">
        <v>38.08</v>
      </c>
      <c r="O240" s="30" t="n">
        <v>10.3</v>
      </c>
      <c r="P240" s="29" t="n">
        <v>0.0103</v>
      </c>
      <c r="Q240" s="27" t="n">
        <v>626500</v>
      </c>
      <c r="R240" s="27" t="n">
        <v>147812</v>
      </c>
      <c r="S240" s="27" t="n">
        <v>222056</v>
      </c>
      <c r="T240" s="29" t="n">
        <v>0.82</v>
      </c>
      <c r="U240" s="29" t="n">
        <v>0.28</v>
      </c>
      <c r="V240" s="29" t="n">
        <v>0.869</v>
      </c>
      <c r="W240" s="28" t="n">
        <v>11.9</v>
      </c>
    </row>
    <row r="241" customFormat="false" ht="15" hidden="false" customHeight="false" outlineLevel="0" collapsed="false">
      <c r="A241" s="25" t="s">
        <v>473</v>
      </c>
      <c r="B241" s="25" t="s">
        <v>361</v>
      </c>
      <c r="C241" s="26" t="n">
        <v>45931</v>
      </c>
      <c r="D241" s="27" t="n">
        <v>18556</v>
      </c>
      <c r="E241" s="28" t="n">
        <v>632.9</v>
      </c>
      <c r="F241" s="29" t="n">
        <v>0.0681</v>
      </c>
      <c r="G241" s="29" t="n">
        <v>0.1661</v>
      </c>
      <c r="H241" s="30" t="n">
        <v>12.13</v>
      </c>
      <c r="I241" s="29" t="n">
        <v>0.024</v>
      </c>
      <c r="J241" s="29" t="n">
        <v>0.024</v>
      </c>
      <c r="K241" s="29" t="n">
        <v>0.0166</v>
      </c>
      <c r="L241" s="27" t="n">
        <v>16</v>
      </c>
      <c r="M241" s="27" t="n">
        <v>21000</v>
      </c>
      <c r="N241" s="30" t="n">
        <v>38.34</v>
      </c>
      <c r="O241" s="30" t="n">
        <v>10.19</v>
      </c>
      <c r="P241" s="29" t="n">
        <v>0.01</v>
      </c>
      <c r="Q241" s="27" t="n">
        <v>336000</v>
      </c>
      <c r="R241" s="27" t="n">
        <v>150666</v>
      </c>
      <c r="S241" s="27" t="n">
        <v>242125</v>
      </c>
      <c r="T241" s="29" t="n">
        <v>0.69</v>
      </c>
      <c r="U241" s="29" t="n">
        <v>0.311</v>
      </c>
      <c r="V241" s="29" t="n">
        <v>0.913</v>
      </c>
      <c r="W241" s="28" t="n">
        <v>11.4</v>
      </c>
    </row>
    <row r="242" customFormat="false" ht="15" hidden="false" customHeight="false" outlineLevel="0" collapsed="false">
      <c r="A242" s="25" t="s">
        <v>474</v>
      </c>
      <c r="B242" s="25" t="s">
        <v>361</v>
      </c>
      <c r="C242" s="26" t="n">
        <v>45962</v>
      </c>
      <c r="D242" s="27" t="n">
        <v>20699</v>
      </c>
      <c r="E242" s="28" t="n">
        <v>631.6</v>
      </c>
      <c r="F242" s="29" t="n">
        <v>0.0656</v>
      </c>
      <c r="G242" s="29" t="n">
        <v>0.1682</v>
      </c>
      <c r="H242" s="30" t="n">
        <v>12.98</v>
      </c>
      <c r="I242" s="29" t="n">
        <v>0.026</v>
      </c>
      <c r="J242" s="29" t="n">
        <v>0.0232</v>
      </c>
      <c r="K242" s="29" t="n">
        <v>0.0274</v>
      </c>
      <c r="L242" s="27" t="n">
        <v>16</v>
      </c>
      <c r="M242" s="27" t="n">
        <v>21019</v>
      </c>
      <c r="N242" s="30" t="n">
        <v>37.49</v>
      </c>
      <c r="O242" s="30" t="n">
        <v>10.21</v>
      </c>
      <c r="P242" s="29" t="n">
        <v>0.0101</v>
      </c>
      <c r="Q242" s="27" t="n">
        <v>336000</v>
      </c>
      <c r="R242" s="27" t="n">
        <v>140834</v>
      </c>
      <c r="S242" s="27" t="n">
        <v>236938</v>
      </c>
      <c r="T242" s="29" t="n">
        <v>0.706</v>
      </c>
      <c r="U242" s="29" t="n">
        <v>0.3</v>
      </c>
      <c r="V242" s="29" t="n">
        <v>0.887</v>
      </c>
      <c r="W242" s="28" t="n">
        <v>11.4</v>
      </c>
    </row>
    <row r="243" customFormat="false" ht="15" hidden="false" customHeight="false" outlineLevel="0" collapsed="false">
      <c r="A243" s="25" t="s">
        <v>475</v>
      </c>
      <c r="B243" s="25" t="s">
        <v>361</v>
      </c>
      <c r="C243" s="26" t="n">
        <v>45992</v>
      </c>
      <c r="D243" s="27" t="n">
        <v>23973</v>
      </c>
      <c r="E243" s="28" t="n">
        <v>617.9</v>
      </c>
      <c r="F243" s="29" t="n">
        <v>0.0634</v>
      </c>
      <c r="G243" s="29" t="n">
        <v>0.1663</v>
      </c>
      <c r="H243" s="30" t="n">
        <v>12.45</v>
      </c>
      <c r="I243" s="29" t="n">
        <v>0.0266</v>
      </c>
      <c r="J243" s="29" t="n">
        <v>0.021</v>
      </c>
      <c r="K243" s="29" t="n">
        <v>0.0255</v>
      </c>
      <c r="L243" s="27" t="n">
        <v>16</v>
      </c>
      <c r="M243" s="27" t="n">
        <v>21038</v>
      </c>
      <c r="N243" s="30" t="n">
        <v>37.27</v>
      </c>
      <c r="O243" s="30" t="n">
        <v>10.51</v>
      </c>
      <c r="P243" s="29" t="n">
        <v>0.01</v>
      </c>
      <c r="Q243" s="27" t="n">
        <v>336000</v>
      </c>
      <c r="R243" s="27" t="n">
        <v>144183</v>
      </c>
      <c r="S243" s="27" t="n">
        <v>255114</v>
      </c>
      <c r="T243" s="29" t="n">
        <v>0.719</v>
      </c>
      <c r="U243" s="29" t="n">
        <v>0.297</v>
      </c>
      <c r="V243" s="29" t="n">
        <v>0.895</v>
      </c>
      <c r="W243" s="28" t="n">
        <v>11.7</v>
      </c>
    </row>
    <row r="244" customFormat="false" ht="15" hidden="false" customHeight="false" outlineLevel="0" collapsed="false">
      <c r="A244" s="25" t="s">
        <v>476</v>
      </c>
      <c r="B244" s="25" t="s">
        <v>361</v>
      </c>
      <c r="C244" s="26" t="n">
        <v>46023</v>
      </c>
      <c r="D244" s="27" t="n">
        <v>23965</v>
      </c>
      <c r="E244" s="28" t="n">
        <v>616.1</v>
      </c>
      <c r="F244" s="29" t="n">
        <v>0.0649</v>
      </c>
      <c r="G244" s="29" t="n">
        <v>0.1681</v>
      </c>
      <c r="H244" s="30" t="n">
        <v>11.81</v>
      </c>
      <c r="I244" s="29" t="n">
        <v>0.0249</v>
      </c>
      <c r="J244" s="29" t="n">
        <v>0.02</v>
      </c>
      <c r="K244" s="29" t="n">
        <v>0.0365</v>
      </c>
      <c r="L244" s="27" t="n">
        <v>16</v>
      </c>
      <c r="M244" s="27" t="n">
        <v>21057</v>
      </c>
      <c r="N244" s="30" t="n">
        <v>37.67</v>
      </c>
      <c r="O244" s="30" t="n">
        <v>10.17</v>
      </c>
      <c r="P244" s="29" t="n">
        <v>0.0098</v>
      </c>
      <c r="Q244" s="27" t="n">
        <v>336000</v>
      </c>
      <c r="R244" s="27" t="n">
        <v>151298</v>
      </c>
      <c r="S244" s="27" t="n">
        <v>242080</v>
      </c>
      <c r="T244" s="29" t="n">
        <v>0.702</v>
      </c>
      <c r="U244" s="29" t="n">
        <v>0.292</v>
      </c>
      <c r="V244" s="29" t="n">
        <v>0.85</v>
      </c>
      <c r="W244" s="28" t="n">
        <v>12.7</v>
      </c>
    </row>
    <row r="245" customFormat="false" ht="15" hidden="false" customHeight="false" outlineLevel="0" collapsed="false">
      <c r="A245" s="25" t="s">
        <v>477</v>
      </c>
      <c r="B245" s="25" t="s">
        <v>361</v>
      </c>
      <c r="C245" s="26" t="n">
        <v>46054</v>
      </c>
      <c r="D245" s="27" t="n">
        <v>22908</v>
      </c>
      <c r="E245" s="28" t="n">
        <v>618.3</v>
      </c>
      <c r="F245" s="29" t="n">
        <v>0.0637</v>
      </c>
      <c r="G245" s="29" t="n">
        <v>0.1667</v>
      </c>
      <c r="H245" s="30" t="n">
        <v>12.75</v>
      </c>
      <c r="I245" s="29" t="n">
        <v>0.0264</v>
      </c>
      <c r="J245" s="29" t="n">
        <v>0.0193</v>
      </c>
      <c r="K245" s="29" t="n">
        <v>0.0283</v>
      </c>
      <c r="L245" s="27" t="n">
        <v>18</v>
      </c>
      <c r="M245" s="27" t="n">
        <v>21076</v>
      </c>
      <c r="N245" s="30" t="n">
        <v>35.99</v>
      </c>
      <c r="O245" s="30" t="n">
        <v>10.06</v>
      </c>
      <c r="P245" s="29" t="n">
        <v>0.0105</v>
      </c>
      <c r="Q245" s="27" t="n">
        <v>336000</v>
      </c>
      <c r="R245" s="27" t="n">
        <v>165822</v>
      </c>
      <c r="S245" s="27" t="n">
        <v>216043</v>
      </c>
      <c r="T245" s="29" t="n">
        <v>0.735</v>
      </c>
      <c r="U245" s="29" t="n">
        <v>0.312</v>
      </c>
      <c r="V245" s="29" t="n">
        <v>0.914</v>
      </c>
      <c r="W245" s="28" t="n">
        <v>10.8</v>
      </c>
    </row>
    <row r="246" customFormat="false" ht="15" hidden="false" customHeight="false" outlineLevel="0" collapsed="false">
      <c r="A246" s="25" t="s">
        <v>478</v>
      </c>
      <c r="B246" s="25" t="s">
        <v>361</v>
      </c>
      <c r="C246" s="26" t="n">
        <v>46082</v>
      </c>
      <c r="D246" s="27" t="n">
        <v>26286</v>
      </c>
      <c r="E246" s="28" t="n">
        <v>631</v>
      </c>
      <c r="F246" s="29" t="n">
        <v>0.0633</v>
      </c>
      <c r="G246" s="29" t="n">
        <v>0.1653</v>
      </c>
      <c r="H246" s="30" t="n">
        <v>11.93</v>
      </c>
      <c r="I246" s="29" t="n">
        <v>0.0264</v>
      </c>
      <c r="J246" s="29" t="n">
        <v>0.0191</v>
      </c>
      <c r="K246" s="29" t="n">
        <v>0.0211</v>
      </c>
      <c r="L246" s="27" t="n">
        <v>17</v>
      </c>
      <c r="M246" s="27" t="n">
        <v>21095</v>
      </c>
      <c r="N246" s="30" t="n">
        <v>36.23</v>
      </c>
      <c r="O246" s="30" t="n">
        <v>10.22</v>
      </c>
      <c r="P246" s="29" t="n">
        <v>0.0101</v>
      </c>
      <c r="Q246" s="27" t="n">
        <v>336000</v>
      </c>
      <c r="R246" s="27" t="n">
        <v>155137</v>
      </c>
      <c r="S246" s="27" t="n">
        <v>234224</v>
      </c>
      <c r="T246" s="29" t="n">
        <v>0.716</v>
      </c>
      <c r="U246" s="29" t="n">
        <v>0.291</v>
      </c>
      <c r="V246" s="29" t="n">
        <v>0.891</v>
      </c>
      <c r="W246" s="28" t="n">
        <v>11.5</v>
      </c>
    </row>
    <row r="247" customFormat="false" ht="15" hidden="false" customHeight="false" outlineLevel="0" collapsed="false">
      <c r="A247" s="25" t="s">
        <v>479</v>
      </c>
      <c r="B247" s="25" t="s">
        <v>361</v>
      </c>
      <c r="C247" s="26" t="n">
        <v>46113</v>
      </c>
      <c r="D247" s="27" t="n">
        <v>29765</v>
      </c>
      <c r="E247" s="28" t="n">
        <v>623.2</v>
      </c>
      <c r="F247" s="29" t="n">
        <v>0.0586</v>
      </c>
      <c r="G247" s="29" t="n">
        <v>0.1653</v>
      </c>
      <c r="H247" s="30" t="n">
        <v>12.59</v>
      </c>
      <c r="I247" s="29" t="n">
        <v>0.029</v>
      </c>
      <c r="J247" s="29" t="n">
        <v>0.0166</v>
      </c>
      <c r="K247" s="29" t="n">
        <v>0.0273</v>
      </c>
      <c r="L247" s="27" t="n">
        <v>20</v>
      </c>
      <c r="M247" s="27" t="n">
        <v>21115</v>
      </c>
      <c r="N247" s="30" t="n">
        <v>34.04</v>
      </c>
      <c r="O247" s="30" t="n">
        <v>10.35</v>
      </c>
      <c r="P247" s="29" t="n">
        <v>0.0102</v>
      </c>
      <c r="Q247" s="27" t="n">
        <v>336000</v>
      </c>
      <c r="R247" s="27" t="n">
        <v>153588</v>
      </c>
      <c r="S247" s="27" t="n">
        <v>238955</v>
      </c>
      <c r="T247" s="29" t="n">
        <v>0.764</v>
      </c>
      <c r="U247" s="29" t="n">
        <v>0.305</v>
      </c>
      <c r="V247" s="29" t="n">
        <v>0.879</v>
      </c>
      <c r="W247" s="28" t="n">
        <v>11.9</v>
      </c>
    </row>
    <row r="248" customFormat="false" ht="15" hidden="false" customHeight="false" outlineLevel="0" collapsed="false">
      <c r="A248" s="25" t="s">
        <v>480</v>
      </c>
      <c r="B248" s="25" t="s">
        <v>361</v>
      </c>
      <c r="C248" s="26" t="n">
        <v>46143</v>
      </c>
      <c r="D248" s="27" t="n">
        <v>31833</v>
      </c>
      <c r="E248" s="28" t="n">
        <v>621.9</v>
      </c>
      <c r="F248" s="29" t="n">
        <v>0.0584</v>
      </c>
      <c r="G248" s="29" t="n">
        <v>0.1672</v>
      </c>
      <c r="H248" s="30" t="n">
        <v>11.59</v>
      </c>
      <c r="I248" s="29" t="n">
        <v>0.0302</v>
      </c>
      <c r="J248" s="29" t="n">
        <v>0.02</v>
      </c>
      <c r="K248" s="29" t="n">
        <v>0.022</v>
      </c>
      <c r="L248" s="27" t="n">
        <v>21</v>
      </c>
      <c r="M248" s="27" t="n">
        <v>21134</v>
      </c>
      <c r="N248" s="30" t="n">
        <v>33.74</v>
      </c>
      <c r="O248" s="30" t="n">
        <v>10.1</v>
      </c>
      <c r="P248" s="29" t="n">
        <v>0.01</v>
      </c>
      <c r="Q248" s="27" t="n">
        <v>336000</v>
      </c>
      <c r="R248" s="27" t="n">
        <v>156228</v>
      </c>
      <c r="S248" s="27" t="n">
        <v>234352</v>
      </c>
      <c r="T248" s="29" t="n">
        <v>0.759</v>
      </c>
      <c r="U248" s="29" t="n">
        <v>0.312</v>
      </c>
      <c r="V248" s="29" t="n">
        <v>0.901</v>
      </c>
      <c r="W248" s="28" t="n">
        <v>11</v>
      </c>
    </row>
    <row r="249" customFormat="false" ht="15" hidden="false" customHeight="false" outlineLevel="0" collapsed="false">
      <c r="A249" s="25" t="s">
        <v>481</v>
      </c>
      <c r="B249" s="25" t="s">
        <v>361</v>
      </c>
      <c r="C249" s="26" t="n">
        <v>46174</v>
      </c>
      <c r="D249" s="27" t="n">
        <v>31397</v>
      </c>
      <c r="E249" s="28" t="n">
        <v>627.7</v>
      </c>
      <c r="F249" s="29" t="n">
        <v>0.0598</v>
      </c>
      <c r="G249" s="29" t="n">
        <v>0.1657</v>
      </c>
      <c r="H249" s="30" t="n">
        <v>12.79</v>
      </c>
      <c r="I249" s="29" t="n">
        <v>0.029</v>
      </c>
      <c r="J249" s="29" t="n">
        <v>0.0168</v>
      </c>
      <c r="K249" s="29" t="n">
        <v>0.0248</v>
      </c>
      <c r="L249" s="27" t="n">
        <v>22</v>
      </c>
      <c r="M249" s="27" t="n">
        <v>21153</v>
      </c>
      <c r="N249" s="30" t="n">
        <v>34.49</v>
      </c>
      <c r="O249" s="30" t="n">
        <v>10.07</v>
      </c>
      <c r="P249" s="29" t="n">
        <v>0.0099</v>
      </c>
      <c r="Q249" s="27" t="n">
        <v>336000</v>
      </c>
      <c r="R249" s="27" t="n">
        <v>155428</v>
      </c>
      <c r="S249" s="27" t="n">
        <v>217235</v>
      </c>
      <c r="T249" s="29" t="n">
        <v>0.764</v>
      </c>
      <c r="U249" s="29" t="n">
        <v>0.304</v>
      </c>
      <c r="V249" s="29" t="n">
        <v>0.888</v>
      </c>
      <c r="W249" s="28" t="n">
        <v>11</v>
      </c>
    </row>
    <row r="250" customFormat="false" ht="15" hidden="false" customHeight="false" outlineLevel="0" collapsed="false">
      <c r="A250" s="25" t="s">
        <v>482</v>
      </c>
      <c r="B250" s="25" t="s">
        <v>361</v>
      </c>
      <c r="C250" s="26" t="n">
        <v>46204</v>
      </c>
      <c r="D250" s="27" t="n">
        <v>29594</v>
      </c>
      <c r="E250" s="28" t="n">
        <v>624</v>
      </c>
      <c r="F250" s="29" t="n">
        <v>0.0545</v>
      </c>
      <c r="G250" s="29" t="n">
        <v>0.1649</v>
      </c>
      <c r="H250" s="30" t="n">
        <v>12.33</v>
      </c>
      <c r="I250" s="29" t="n">
        <v>0.0271</v>
      </c>
      <c r="J250" s="29" t="n">
        <v>0.0184</v>
      </c>
      <c r="K250" s="29" t="n">
        <v>0.0261</v>
      </c>
      <c r="L250" s="27" t="n">
        <v>20</v>
      </c>
      <c r="M250" s="27" t="n">
        <v>21172</v>
      </c>
      <c r="N250" s="30" t="n">
        <v>33.93</v>
      </c>
      <c r="O250" s="30" t="n">
        <v>10.16</v>
      </c>
      <c r="P250" s="29" t="n">
        <v>0.0098</v>
      </c>
      <c r="Q250" s="27" t="n">
        <v>336000</v>
      </c>
      <c r="R250" s="27" t="n">
        <v>157400</v>
      </c>
      <c r="S250" s="27" t="n">
        <v>181998</v>
      </c>
      <c r="T250" s="29" t="n">
        <v>0.763</v>
      </c>
      <c r="U250" s="29" t="n">
        <v>0.292</v>
      </c>
      <c r="V250" s="29" t="n">
        <v>0.88</v>
      </c>
      <c r="W250" s="28" t="n">
        <v>11.7</v>
      </c>
    </row>
    <row r="251" customFormat="false" ht="15" hidden="false" customHeight="false" outlineLevel="0" collapsed="false">
      <c r="A251" s="25" t="s">
        <v>483</v>
      </c>
      <c r="B251" s="25" t="s">
        <v>361</v>
      </c>
      <c r="C251" s="26" t="n">
        <v>46235</v>
      </c>
      <c r="D251" s="27" t="n">
        <v>33155</v>
      </c>
      <c r="E251" s="28" t="n">
        <v>619.4</v>
      </c>
      <c r="F251" s="29" t="n">
        <v>0.0546</v>
      </c>
      <c r="G251" s="29" t="n">
        <v>0.1678</v>
      </c>
      <c r="H251" s="30" t="n">
        <v>13.91</v>
      </c>
      <c r="I251" s="29" t="n">
        <v>0.0298</v>
      </c>
      <c r="J251" s="29" t="n">
        <v>0.0175</v>
      </c>
      <c r="K251" s="29" t="n">
        <v>0.0287</v>
      </c>
      <c r="L251" s="27" t="n">
        <v>22</v>
      </c>
      <c r="M251" s="27" t="n">
        <v>21191</v>
      </c>
      <c r="N251" s="30" t="n">
        <v>34.87</v>
      </c>
      <c r="O251" s="30" t="n">
        <v>10.29</v>
      </c>
      <c r="P251" s="29" t="n">
        <v>0.0095</v>
      </c>
      <c r="Q251" s="27" t="n">
        <v>336000</v>
      </c>
      <c r="R251" s="27" t="n">
        <v>152898</v>
      </c>
      <c r="S251" s="27" t="n">
        <v>190994</v>
      </c>
      <c r="T251" s="29" t="n">
        <v>0.805</v>
      </c>
      <c r="U251" s="29" t="n">
        <v>0.303</v>
      </c>
      <c r="V251" s="29" t="n">
        <v>0.899</v>
      </c>
      <c r="W251" s="28" t="n">
        <v>11.6</v>
      </c>
    </row>
    <row r="252" customFormat="false" ht="15" hidden="false" customHeight="false" outlineLevel="0" collapsed="false">
      <c r="A252" s="25" t="s">
        <v>484</v>
      </c>
      <c r="B252" s="25" t="s">
        <v>361</v>
      </c>
      <c r="C252" s="26" t="n">
        <v>46266</v>
      </c>
      <c r="D252" s="27" t="n">
        <v>33581</v>
      </c>
      <c r="E252" s="28" t="n">
        <v>629.8</v>
      </c>
      <c r="F252" s="29" t="n">
        <v>0.0583</v>
      </c>
      <c r="G252" s="29" t="n">
        <v>0.1669</v>
      </c>
      <c r="H252" s="30" t="n">
        <v>12.79</v>
      </c>
      <c r="I252" s="29" t="n">
        <v>0.031</v>
      </c>
      <c r="J252" s="29" t="n">
        <v>0.0178</v>
      </c>
      <c r="K252" s="29" t="n">
        <v>0.0279</v>
      </c>
      <c r="L252" s="27" t="n">
        <v>24</v>
      </c>
      <c r="M252" s="27" t="n">
        <v>21210</v>
      </c>
      <c r="N252" s="30" t="n">
        <v>34.39</v>
      </c>
      <c r="O252" s="30" t="n">
        <v>10.33</v>
      </c>
      <c r="P252" s="29" t="n">
        <v>0.0098</v>
      </c>
      <c r="Q252" s="27" t="n">
        <v>336000</v>
      </c>
      <c r="R252" s="27" t="n">
        <v>145493</v>
      </c>
      <c r="S252" s="27" t="n">
        <v>224156</v>
      </c>
      <c r="T252" s="29" t="n">
        <v>0.792</v>
      </c>
      <c r="U252" s="29" t="n">
        <v>0.303</v>
      </c>
      <c r="V252" s="29" t="n">
        <v>0.888</v>
      </c>
      <c r="W252" s="28" t="n">
        <v>11.1</v>
      </c>
    </row>
    <row r="253" customFormat="false" ht="15" hidden="false" customHeight="false" outlineLevel="0" collapsed="false">
      <c r="A253" s="25" t="s">
        <v>485</v>
      </c>
      <c r="B253" s="25" t="s">
        <v>363</v>
      </c>
      <c r="C253" s="26" t="n">
        <v>45931</v>
      </c>
      <c r="D253" s="27" t="n">
        <v>36102</v>
      </c>
      <c r="E253" s="28" t="n">
        <v>635.8</v>
      </c>
      <c r="F253" s="29" t="n">
        <v>0.0627</v>
      </c>
      <c r="G253" s="29" t="n">
        <v>0.1683</v>
      </c>
      <c r="H253" s="30" t="n">
        <v>13.12</v>
      </c>
      <c r="I253" s="29" t="n">
        <v>0.0303</v>
      </c>
      <c r="J253" s="29" t="n">
        <v>0.0174</v>
      </c>
      <c r="K253" s="29" t="n">
        <v>0.0241</v>
      </c>
      <c r="L253" s="27" t="n">
        <v>29</v>
      </c>
      <c r="M253" s="27" t="n">
        <v>21000</v>
      </c>
      <c r="N253" s="30" t="n">
        <v>37.98</v>
      </c>
      <c r="O253" s="30" t="n">
        <v>10.4</v>
      </c>
      <c r="P253" s="29" t="n">
        <v>0.0102</v>
      </c>
      <c r="Q253" s="27" t="n">
        <v>1056000</v>
      </c>
      <c r="R253" s="27" t="n">
        <v>197598</v>
      </c>
      <c r="S253" s="27" t="n">
        <v>190495</v>
      </c>
      <c r="T253" s="29" t="n">
        <v>0.692</v>
      </c>
      <c r="U253" s="29" t="n">
        <v>0.297</v>
      </c>
      <c r="V253" s="29" t="n">
        <v>0.888</v>
      </c>
      <c r="W253" s="28" t="n">
        <v>11.6</v>
      </c>
    </row>
    <row r="254" customFormat="false" ht="15" hidden="false" customHeight="false" outlineLevel="0" collapsed="false">
      <c r="A254" s="25" t="s">
        <v>486</v>
      </c>
      <c r="B254" s="25" t="s">
        <v>363</v>
      </c>
      <c r="C254" s="26" t="n">
        <v>45962</v>
      </c>
      <c r="D254" s="27" t="n">
        <v>39148</v>
      </c>
      <c r="E254" s="28" t="n">
        <v>630.8</v>
      </c>
      <c r="F254" s="29" t="n">
        <v>0.0686</v>
      </c>
      <c r="G254" s="29" t="n">
        <v>0.1668</v>
      </c>
      <c r="H254" s="30" t="n">
        <v>13.05</v>
      </c>
      <c r="I254" s="29" t="n">
        <v>0.0313</v>
      </c>
      <c r="J254" s="29" t="n">
        <v>0.0163</v>
      </c>
      <c r="K254" s="29" t="n">
        <v>0.017</v>
      </c>
      <c r="L254" s="27" t="n">
        <v>30</v>
      </c>
      <c r="M254" s="27" t="n">
        <v>21019</v>
      </c>
      <c r="N254" s="30" t="n">
        <v>38.56</v>
      </c>
      <c r="O254" s="30" t="n">
        <v>10.26</v>
      </c>
      <c r="P254" s="29" t="n">
        <v>0.0101</v>
      </c>
      <c r="Q254" s="27" t="n">
        <v>1056000</v>
      </c>
      <c r="R254" s="27" t="n">
        <v>197605</v>
      </c>
      <c r="S254" s="27" t="n">
        <v>205643</v>
      </c>
      <c r="T254" s="29" t="n">
        <v>0.706</v>
      </c>
      <c r="U254" s="29" t="n">
        <v>0.303</v>
      </c>
      <c r="V254" s="29" t="n">
        <v>0.898</v>
      </c>
      <c r="W254" s="28" t="n">
        <v>11.5</v>
      </c>
    </row>
    <row r="255" customFormat="false" ht="15" hidden="false" customHeight="false" outlineLevel="0" collapsed="false">
      <c r="A255" s="25" t="s">
        <v>487</v>
      </c>
      <c r="B255" s="25" t="s">
        <v>363</v>
      </c>
      <c r="C255" s="26" t="n">
        <v>45992</v>
      </c>
      <c r="D255" s="27" t="n">
        <v>38802</v>
      </c>
      <c r="E255" s="28" t="n">
        <v>624.4</v>
      </c>
      <c r="F255" s="29" t="n">
        <v>0.071</v>
      </c>
      <c r="G255" s="29" t="n">
        <v>0.1658</v>
      </c>
      <c r="H255" s="30" t="n">
        <v>12.26</v>
      </c>
      <c r="I255" s="29" t="n">
        <v>0.0307</v>
      </c>
      <c r="J255" s="29" t="n">
        <v>0.0166</v>
      </c>
      <c r="K255" s="29" t="n">
        <v>0.0227</v>
      </c>
      <c r="L255" s="27" t="n">
        <v>29</v>
      </c>
      <c r="M255" s="27" t="n">
        <v>21038</v>
      </c>
      <c r="N255" s="30" t="n">
        <v>38.5</v>
      </c>
      <c r="O255" s="30" t="n">
        <v>10.25</v>
      </c>
      <c r="P255" s="29" t="n">
        <v>0.01</v>
      </c>
      <c r="Q255" s="27" t="n">
        <v>1056000</v>
      </c>
      <c r="R255" s="27" t="n">
        <v>206871</v>
      </c>
      <c r="S255" s="27" t="n">
        <v>201873</v>
      </c>
      <c r="T255" s="29" t="n">
        <v>0.652</v>
      </c>
      <c r="U255" s="29" t="n">
        <v>0.294</v>
      </c>
      <c r="V255" s="29" t="n">
        <v>0.905</v>
      </c>
      <c r="W255" s="28" t="n">
        <v>11</v>
      </c>
    </row>
    <row r="256" customFormat="false" ht="15" hidden="false" customHeight="false" outlineLevel="0" collapsed="false">
      <c r="A256" s="25" t="s">
        <v>488</v>
      </c>
      <c r="B256" s="25" t="s">
        <v>363</v>
      </c>
      <c r="C256" s="26" t="n">
        <v>46023</v>
      </c>
      <c r="D256" s="27" t="n">
        <v>35526</v>
      </c>
      <c r="E256" s="28" t="n">
        <v>619</v>
      </c>
      <c r="F256" s="29" t="n">
        <v>0.0683</v>
      </c>
      <c r="G256" s="29" t="n">
        <v>0.1683</v>
      </c>
      <c r="H256" s="30" t="n">
        <v>12.49</v>
      </c>
      <c r="I256" s="29" t="n">
        <v>0.0291</v>
      </c>
      <c r="J256" s="29" t="n">
        <v>0.0178</v>
      </c>
      <c r="K256" s="29" t="n">
        <v>0.0284</v>
      </c>
      <c r="L256" s="27" t="n">
        <v>27</v>
      </c>
      <c r="M256" s="27" t="n">
        <v>21057</v>
      </c>
      <c r="N256" s="30" t="n">
        <v>39.37</v>
      </c>
      <c r="O256" s="30" t="n">
        <v>10.4</v>
      </c>
      <c r="P256" s="29" t="n">
        <v>0.0098</v>
      </c>
      <c r="Q256" s="27" t="n">
        <v>1056000</v>
      </c>
      <c r="R256" s="27" t="n">
        <v>199597</v>
      </c>
      <c r="S256" s="27" t="n">
        <v>189599</v>
      </c>
      <c r="T256" s="29" t="n">
        <v>0.707</v>
      </c>
      <c r="U256" s="29" t="n">
        <v>0.31</v>
      </c>
      <c r="V256" s="29" t="n">
        <v>0.893</v>
      </c>
      <c r="W256" s="28" t="n">
        <v>11.7</v>
      </c>
    </row>
    <row r="257" customFormat="false" ht="15" hidden="false" customHeight="false" outlineLevel="0" collapsed="false">
      <c r="A257" s="25" t="s">
        <v>489</v>
      </c>
      <c r="B257" s="25" t="s">
        <v>363</v>
      </c>
      <c r="C257" s="26" t="n">
        <v>46054</v>
      </c>
      <c r="D257" s="27" t="n">
        <v>33929</v>
      </c>
      <c r="E257" s="28" t="n">
        <v>651.8</v>
      </c>
      <c r="F257" s="29" t="n">
        <v>0.0662</v>
      </c>
      <c r="G257" s="29" t="n">
        <v>0.1687</v>
      </c>
      <c r="H257" s="30" t="n">
        <v>11.6</v>
      </c>
      <c r="I257" s="29" t="n">
        <v>0.0309</v>
      </c>
      <c r="J257" s="29" t="n">
        <v>0.0181</v>
      </c>
      <c r="K257" s="29" t="n">
        <v>0.0212</v>
      </c>
      <c r="L257" s="27" t="n">
        <v>29</v>
      </c>
      <c r="M257" s="27" t="n">
        <v>21076</v>
      </c>
      <c r="N257" s="30" t="n">
        <v>37.69</v>
      </c>
      <c r="O257" s="30" t="n">
        <v>10.23</v>
      </c>
      <c r="P257" s="29" t="n">
        <v>0.0099</v>
      </c>
      <c r="Q257" s="27" t="n">
        <v>1056000</v>
      </c>
      <c r="R257" s="27" t="n">
        <v>197688</v>
      </c>
      <c r="S257" s="27" t="n">
        <v>156905</v>
      </c>
      <c r="T257" s="29" t="n">
        <v>0.704</v>
      </c>
      <c r="U257" s="29" t="n">
        <v>0.323</v>
      </c>
      <c r="V257" s="29" t="n">
        <v>0.898</v>
      </c>
      <c r="W257" s="28" t="n">
        <v>11.8</v>
      </c>
    </row>
    <row r="258" customFormat="false" ht="15" hidden="false" customHeight="false" outlineLevel="0" collapsed="false">
      <c r="A258" s="25" t="s">
        <v>490</v>
      </c>
      <c r="B258" s="25" t="s">
        <v>363</v>
      </c>
      <c r="C258" s="26" t="n">
        <v>46082</v>
      </c>
      <c r="D258" s="27" t="n">
        <v>39018</v>
      </c>
      <c r="E258" s="28" t="n">
        <v>635.7</v>
      </c>
      <c r="F258" s="29" t="n">
        <v>0.0679</v>
      </c>
      <c r="G258" s="29" t="n">
        <v>0.1682</v>
      </c>
      <c r="H258" s="30" t="n">
        <v>13.16</v>
      </c>
      <c r="I258" s="29" t="n">
        <v>0.0319</v>
      </c>
      <c r="J258" s="29" t="n">
        <v>0.0169</v>
      </c>
      <c r="K258" s="29" t="n">
        <v>0.0166</v>
      </c>
      <c r="L258" s="27" t="n">
        <v>31</v>
      </c>
      <c r="M258" s="27" t="n">
        <v>21095</v>
      </c>
      <c r="N258" s="30" t="n">
        <v>38.97</v>
      </c>
      <c r="O258" s="30" t="n">
        <v>10.25</v>
      </c>
      <c r="P258" s="29" t="n">
        <v>0.0101</v>
      </c>
      <c r="Q258" s="27" t="n">
        <v>1056000</v>
      </c>
      <c r="R258" s="27" t="n">
        <v>209992</v>
      </c>
      <c r="S258" s="27" t="n">
        <v>192045</v>
      </c>
      <c r="T258" s="29" t="n">
        <v>0.705</v>
      </c>
      <c r="U258" s="29" t="n">
        <v>0.322</v>
      </c>
      <c r="V258" s="29" t="n">
        <v>0.912</v>
      </c>
      <c r="W258" s="28" t="n">
        <v>10.7</v>
      </c>
    </row>
    <row r="259" customFormat="false" ht="15" hidden="false" customHeight="false" outlineLevel="0" collapsed="false">
      <c r="A259" s="25" t="s">
        <v>491</v>
      </c>
      <c r="B259" s="25" t="s">
        <v>363</v>
      </c>
      <c r="C259" s="26" t="n">
        <v>46113</v>
      </c>
      <c r="D259" s="27" t="n">
        <v>38754</v>
      </c>
      <c r="E259" s="28" t="n">
        <v>644.5</v>
      </c>
      <c r="F259" s="29" t="n">
        <v>0.0663</v>
      </c>
      <c r="G259" s="29" t="n">
        <v>0.1699</v>
      </c>
      <c r="H259" s="30" t="n">
        <v>13.06</v>
      </c>
      <c r="I259" s="29" t="n">
        <v>0.0335</v>
      </c>
      <c r="J259" s="29" t="n">
        <v>0.017</v>
      </c>
      <c r="K259" s="29" t="n">
        <v>0.0197</v>
      </c>
      <c r="L259" s="27" t="n">
        <v>31</v>
      </c>
      <c r="M259" s="27" t="n">
        <v>21115</v>
      </c>
      <c r="N259" s="30" t="n">
        <v>38.77</v>
      </c>
      <c r="O259" s="30" t="n">
        <v>9.82</v>
      </c>
      <c r="P259" s="29" t="n">
        <v>0.01</v>
      </c>
      <c r="Q259" s="27" t="n">
        <v>1056000</v>
      </c>
      <c r="R259" s="27" t="n">
        <v>196314</v>
      </c>
      <c r="S259" s="27" t="n">
        <v>173649</v>
      </c>
      <c r="T259" s="29" t="n">
        <v>0.7</v>
      </c>
      <c r="U259" s="29" t="n">
        <v>0.311</v>
      </c>
      <c r="V259" s="29" t="n">
        <v>0.898</v>
      </c>
      <c r="W259" s="28" t="n">
        <v>11.4</v>
      </c>
    </row>
    <row r="260" customFormat="false" ht="15" hidden="false" customHeight="false" outlineLevel="0" collapsed="false">
      <c r="A260" s="25" t="s">
        <v>492</v>
      </c>
      <c r="B260" s="25" t="s">
        <v>363</v>
      </c>
      <c r="C260" s="26" t="n">
        <v>46143</v>
      </c>
      <c r="D260" s="27" t="n">
        <v>43612</v>
      </c>
      <c r="E260" s="28" t="n">
        <v>629.3</v>
      </c>
      <c r="F260" s="29" t="n">
        <v>0.0684</v>
      </c>
      <c r="G260" s="29" t="n">
        <v>0.1667</v>
      </c>
      <c r="H260" s="30" t="n">
        <v>12.11</v>
      </c>
      <c r="I260" s="29" t="n">
        <v>0.0322</v>
      </c>
      <c r="J260" s="29" t="n">
        <v>0.0182</v>
      </c>
      <c r="K260" s="29" t="n">
        <v>0.0194</v>
      </c>
      <c r="L260" s="27" t="n">
        <v>35</v>
      </c>
      <c r="M260" s="27" t="n">
        <v>21134</v>
      </c>
      <c r="N260" s="30" t="n">
        <v>38.13</v>
      </c>
      <c r="O260" s="30" t="n">
        <v>10.34</v>
      </c>
      <c r="P260" s="29" t="n">
        <v>0.0101</v>
      </c>
      <c r="Q260" s="27" t="n">
        <v>1056000</v>
      </c>
      <c r="R260" s="27" t="n">
        <v>206616</v>
      </c>
      <c r="S260" s="27" t="n">
        <v>179846</v>
      </c>
      <c r="T260" s="29" t="n">
        <v>0.714</v>
      </c>
      <c r="U260" s="29" t="n">
        <v>0.3</v>
      </c>
      <c r="V260" s="29" t="n">
        <v>0.895</v>
      </c>
      <c r="W260" s="28" t="n">
        <v>11.5</v>
      </c>
    </row>
    <row r="261" customFormat="false" ht="15" hidden="false" customHeight="false" outlineLevel="0" collapsed="false">
      <c r="A261" s="25" t="s">
        <v>493</v>
      </c>
      <c r="B261" s="25" t="s">
        <v>363</v>
      </c>
      <c r="C261" s="26" t="n">
        <v>46174</v>
      </c>
      <c r="D261" s="27" t="n">
        <v>40162</v>
      </c>
      <c r="E261" s="28" t="n">
        <v>633.9</v>
      </c>
      <c r="F261" s="29" t="n">
        <v>0.0681</v>
      </c>
      <c r="G261" s="29" t="n">
        <v>0.1708</v>
      </c>
      <c r="H261" s="30" t="n">
        <v>12.98</v>
      </c>
      <c r="I261" s="29" t="n">
        <v>0.0332</v>
      </c>
      <c r="J261" s="29" t="n">
        <v>0.0183</v>
      </c>
      <c r="K261" s="29" t="n">
        <v>0.0277</v>
      </c>
      <c r="L261" s="27" t="n">
        <v>31</v>
      </c>
      <c r="M261" s="27" t="n">
        <v>21153</v>
      </c>
      <c r="N261" s="30" t="n">
        <v>38.47</v>
      </c>
      <c r="O261" s="30" t="n">
        <v>10.37</v>
      </c>
      <c r="P261" s="29" t="n">
        <v>0.0102</v>
      </c>
      <c r="Q261" s="27" t="n">
        <v>1056000</v>
      </c>
      <c r="R261" s="27" t="n">
        <v>200213</v>
      </c>
      <c r="S261" s="27" t="n">
        <v>206432</v>
      </c>
      <c r="T261" s="29" t="n">
        <v>0.667</v>
      </c>
      <c r="U261" s="29" t="n">
        <v>0.312</v>
      </c>
      <c r="V261" s="29" t="n">
        <v>0.883</v>
      </c>
      <c r="W261" s="28" t="n">
        <v>11.5</v>
      </c>
    </row>
    <row r="262" customFormat="false" ht="15" hidden="false" customHeight="false" outlineLevel="0" collapsed="false">
      <c r="A262" s="25" t="s">
        <v>494</v>
      </c>
      <c r="B262" s="25" t="s">
        <v>363</v>
      </c>
      <c r="C262" s="26" t="n">
        <v>46204</v>
      </c>
      <c r="D262" s="27" t="n">
        <v>39481</v>
      </c>
      <c r="E262" s="28" t="n">
        <v>631.5</v>
      </c>
      <c r="F262" s="29" t="n">
        <v>0.0667</v>
      </c>
      <c r="G262" s="29" t="n">
        <v>0.167</v>
      </c>
      <c r="H262" s="30" t="n">
        <v>12.41</v>
      </c>
      <c r="I262" s="29" t="n">
        <v>0.0313</v>
      </c>
      <c r="J262" s="29" t="n">
        <v>0.018</v>
      </c>
      <c r="K262" s="29" t="n">
        <v>0.0253</v>
      </c>
      <c r="L262" s="27" t="n">
        <v>31</v>
      </c>
      <c r="M262" s="27" t="n">
        <v>21172</v>
      </c>
      <c r="N262" s="30" t="n">
        <v>38.24</v>
      </c>
      <c r="O262" s="30" t="n">
        <v>10.55</v>
      </c>
      <c r="P262" s="29" t="n">
        <v>0.0098</v>
      </c>
      <c r="Q262" s="27" t="n">
        <v>1056000</v>
      </c>
      <c r="R262" s="27" t="n">
        <v>200609</v>
      </c>
      <c r="S262" s="27" t="n">
        <v>159087</v>
      </c>
      <c r="T262" s="29" t="n">
        <v>0.711</v>
      </c>
      <c r="U262" s="29" t="n">
        <v>0.3</v>
      </c>
      <c r="V262" s="29" t="n">
        <v>0.889</v>
      </c>
      <c r="W262" s="28" t="n">
        <v>11.6</v>
      </c>
    </row>
    <row r="263" customFormat="false" ht="15" hidden="false" customHeight="false" outlineLevel="0" collapsed="false">
      <c r="A263" s="25" t="s">
        <v>495</v>
      </c>
      <c r="B263" s="25" t="s">
        <v>363</v>
      </c>
      <c r="C263" s="26" t="n">
        <v>46235</v>
      </c>
      <c r="D263" s="27" t="n">
        <v>41268</v>
      </c>
      <c r="E263" s="28" t="n">
        <v>630.5</v>
      </c>
      <c r="F263" s="29" t="n">
        <v>0.0662</v>
      </c>
      <c r="G263" s="29" t="n">
        <v>0.1699</v>
      </c>
      <c r="H263" s="30" t="n">
        <v>13.34</v>
      </c>
      <c r="I263" s="29" t="n">
        <v>0.031</v>
      </c>
      <c r="J263" s="29" t="n">
        <v>0.0166</v>
      </c>
      <c r="K263" s="29" t="n">
        <v>0.0236</v>
      </c>
      <c r="L263" s="27" t="n">
        <v>33</v>
      </c>
      <c r="M263" s="27" t="n">
        <v>21191</v>
      </c>
      <c r="N263" s="30" t="n">
        <v>38.08</v>
      </c>
      <c r="O263" s="30" t="n">
        <v>10.61</v>
      </c>
      <c r="P263" s="29" t="n">
        <v>0.01</v>
      </c>
      <c r="Q263" s="27" t="n">
        <v>1056000</v>
      </c>
      <c r="R263" s="27" t="n">
        <v>195118</v>
      </c>
      <c r="S263" s="27" t="n">
        <v>180103</v>
      </c>
      <c r="T263" s="29" t="n">
        <v>0.692</v>
      </c>
      <c r="U263" s="29" t="n">
        <v>0.31</v>
      </c>
      <c r="V263" s="29" t="n">
        <v>0.885</v>
      </c>
      <c r="W263" s="28" t="n">
        <v>12.3</v>
      </c>
    </row>
    <row r="264" customFormat="false" ht="15" hidden="false" customHeight="false" outlineLevel="0" collapsed="false">
      <c r="A264" s="25" t="s">
        <v>496</v>
      </c>
      <c r="B264" s="25" t="s">
        <v>363</v>
      </c>
      <c r="C264" s="26" t="n">
        <v>46266</v>
      </c>
      <c r="D264" s="27" t="n">
        <v>40812</v>
      </c>
      <c r="E264" s="28" t="n">
        <v>652.7</v>
      </c>
      <c r="F264" s="29" t="n">
        <v>0.07</v>
      </c>
      <c r="G264" s="29" t="n">
        <v>0.1634</v>
      </c>
      <c r="H264" s="30" t="n">
        <v>12.96</v>
      </c>
      <c r="I264" s="29" t="n">
        <v>0.0323</v>
      </c>
      <c r="J264" s="29" t="n">
        <v>0.0177</v>
      </c>
      <c r="K264" s="29" t="n">
        <v>0.0248</v>
      </c>
      <c r="L264" s="27" t="n">
        <v>33</v>
      </c>
      <c r="M264" s="27" t="n">
        <v>21210</v>
      </c>
      <c r="N264" s="30" t="n">
        <v>38.68</v>
      </c>
      <c r="O264" s="30" t="n">
        <v>9.65</v>
      </c>
      <c r="P264" s="29" t="n">
        <v>0.0101</v>
      </c>
      <c r="Q264" s="27" t="n">
        <v>1056000</v>
      </c>
      <c r="R264" s="27" t="n">
        <v>203777</v>
      </c>
      <c r="S264" s="27" t="n">
        <v>168725</v>
      </c>
      <c r="T264" s="29" t="n">
        <v>0.729</v>
      </c>
      <c r="U264" s="29" t="n">
        <v>0.329</v>
      </c>
      <c r="V264" s="29" t="n">
        <v>0.896</v>
      </c>
      <c r="W264" s="28" t="n">
        <v>11.2</v>
      </c>
    </row>
    <row r="265" customFormat="false" ht="15" hidden="false" customHeight="false" outlineLevel="0" collapsed="false">
      <c r="A265" s="25" t="s">
        <v>497</v>
      </c>
      <c r="B265" s="25" t="s">
        <v>364</v>
      </c>
      <c r="C265" s="26" t="n">
        <v>45931</v>
      </c>
      <c r="D265" s="27" t="n">
        <v>56895</v>
      </c>
      <c r="E265" s="28" t="n">
        <v>613.2</v>
      </c>
      <c r="F265" s="29" t="n">
        <v>0.0643</v>
      </c>
      <c r="G265" s="29" t="n">
        <v>0.1645</v>
      </c>
      <c r="H265" s="30" t="n">
        <v>13.76</v>
      </c>
      <c r="I265" s="29" t="n">
        <v>0.0324</v>
      </c>
      <c r="J265" s="29" t="n">
        <v>0.0244</v>
      </c>
      <c r="K265" s="29" t="n">
        <v>0.0462</v>
      </c>
      <c r="L265" s="27" t="n">
        <v>55</v>
      </c>
      <c r="M265" s="27" t="n">
        <v>21000</v>
      </c>
      <c r="N265" s="30" t="n">
        <v>40.89</v>
      </c>
      <c r="O265" s="30" t="n">
        <v>10.26</v>
      </c>
      <c r="P265" s="29" t="n">
        <v>0.0101</v>
      </c>
      <c r="Q265" s="27" t="n">
        <v>859500</v>
      </c>
      <c r="R265" s="27" t="n">
        <v>169872</v>
      </c>
      <c r="S265" s="27" t="n">
        <v>285078</v>
      </c>
      <c r="T265" s="29" t="n">
        <v>0.808</v>
      </c>
      <c r="U265" s="29" t="n">
        <v>0.342</v>
      </c>
      <c r="V265" s="29" t="n">
        <v>0.847</v>
      </c>
      <c r="W265" s="28" t="n">
        <v>12.3</v>
      </c>
    </row>
    <row r="266" customFormat="false" ht="15" hidden="false" customHeight="false" outlineLevel="0" collapsed="false">
      <c r="A266" s="25" t="s">
        <v>498</v>
      </c>
      <c r="B266" s="25" t="s">
        <v>364</v>
      </c>
      <c r="C266" s="26" t="n">
        <v>45962</v>
      </c>
      <c r="D266" s="27" t="n">
        <v>60816</v>
      </c>
      <c r="E266" s="28" t="n">
        <v>622</v>
      </c>
      <c r="F266" s="29" t="n">
        <v>0.0617</v>
      </c>
      <c r="G266" s="29" t="n">
        <v>0.1676</v>
      </c>
      <c r="H266" s="30" t="n">
        <v>12.97</v>
      </c>
      <c r="I266" s="29" t="n">
        <v>0.0342</v>
      </c>
      <c r="J266" s="29" t="n">
        <v>0.0241</v>
      </c>
      <c r="K266" s="29" t="n">
        <v>0.0449</v>
      </c>
      <c r="L266" s="27" t="n">
        <v>60</v>
      </c>
      <c r="M266" s="27" t="n">
        <v>21019</v>
      </c>
      <c r="N266" s="30" t="n">
        <v>40.01</v>
      </c>
      <c r="O266" s="30" t="n">
        <v>10.71</v>
      </c>
      <c r="P266" s="29" t="n">
        <v>0.0102</v>
      </c>
      <c r="Q266" s="27" t="n">
        <v>859500</v>
      </c>
      <c r="R266" s="27" t="n">
        <v>175272</v>
      </c>
      <c r="S266" s="27" t="n">
        <v>328833</v>
      </c>
      <c r="T266" s="29" t="n">
        <v>0.796</v>
      </c>
      <c r="U266" s="29" t="n">
        <v>0.355</v>
      </c>
      <c r="V266" s="29" t="n">
        <v>0.845</v>
      </c>
      <c r="W266" s="28" t="n">
        <v>12.6</v>
      </c>
    </row>
    <row r="267" customFormat="false" ht="15" hidden="false" customHeight="false" outlineLevel="0" collapsed="false">
      <c r="A267" s="25" t="s">
        <v>499</v>
      </c>
      <c r="B267" s="25" t="s">
        <v>364</v>
      </c>
      <c r="C267" s="26" t="n">
        <v>45992</v>
      </c>
      <c r="D267" s="27" t="n">
        <v>58072</v>
      </c>
      <c r="E267" s="28" t="n">
        <v>622</v>
      </c>
      <c r="F267" s="29" t="n">
        <v>0.063</v>
      </c>
      <c r="G267" s="29" t="n">
        <v>0.1656</v>
      </c>
      <c r="H267" s="30" t="n">
        <v>13.08</v>
      </c>
      <c r="I267" s="29" t="n">
        <v>0.0343</v>
      </c>
      <c r="J267" s="29" t="n">
        <v>0.0236</v>
      </c>
      <c r="K267" s="29" t="n">
        <v>0.0503</v>
      </c>
      <c r="L267" s="27" t="n">
        <v>56</v>
      </c>
      <c r="M267" s="27" t="n">
        <v>21038</v>
      </c>
      <c r="N267" s="30" t="n">
        <v>40.7</v>
      </c>
      <c r="O267" s="30" t="n">
        <v>10.22</v>
      </c>
      <c r="P267" s="29" t="n">
        <v>0.0102</v>
      </c>
      <c r="Q267" s="27" t="n">
        <v>859500</v>
      </c>
      <c r="R267" s="27" t="n">
        <v>179212</v>
      </c>
      <c r="S267" s="27" t="n">
        <v>304424</v>
      </c>
      <c r="T267" s="29" t="n">
        <v>0.785</v>
      </c>
      <c r="U267" s="29" t="n">
        <v>0.355</v>
      </c>
      <c r="V267" s="29" t="n">
        <v>0.84</v>
      </c>
      <c r="W267" s="28" t="n">
        <v>12.2</v>
      </c>
    </row>
    <row r="268" customFormat="false" ht="15" hidden="false" customHeight="false" outlineLevel="0" collapsed="false">
      <c r="A268" s="25" t="s">
        <v>500</v>
      </c>
      <c r="B268" s="25" t="s">
        <v>364</v>
      </c>
      <c r="C268" s="26" t="n">
        <v>46023</v>
      </c>
      <c r="D268" s="27" t="n">
        <v>55393</v>
      </c>
      <c r="E268" s="28" t="n">
        <v>616</v>
      </c>
      <c r="F268" s="29" t="n">
        <v>0.0626</v>
      </c>
      <c r="G268" s="29" t="n">
        <v>0.1677</v>
      </c>
      <c r="H268" s="30" t="n">
        <v>13.01</v>
      </c>
      <c r="I268" s="29" t="n">
        <v>0.0343</v>
      </c>
      <c r="J268" s="29" t="n">
        <v>0.0234</v>
      </c>
      <c r="K268" s="29" t="n">
        <v>0.0385</v>
      </c>
      <c r="L268" s="27" t="n">
        <v>51</v>
      </c>
      <c r="M268" s="27" t="n">
        <v>21057</v>
      </c>
      <c r="N268" s="30" t="n">
        <v>40.39</v>
      </c>
      <c r="O268" s="30" t="n">
        <v>10.42</v>
      </c>
      <c r="P268" s="29" t="n">
        <v>0.0103</v>
      </c>
      <c r="Q268" s="27" t="n">
        <v>859500</v>
      </c>
      <c r="R268" s="27" t="n">
        <v>189056</v>
      </c>
      <c r="S268" s="27" t="n">
        <v>269906</v>
      </c>
      <c r="T268" s="29" t="n">
        <v>0.823</v>
      </c>
      <c r="U268" s="29" t="n">
        <v>0.361</v>
      </c>
      <c r="V268" s="29" t="n">
        <v>0.866</v>
      </c>
      <c r="W268" s="28" t="n">
        <v>11.9</v>
      </c>
    </row>
    <row r="269" customFormat="false" ht="15" hidden="false" customHeight="false" outlineLevel="0" collapsed="false">
      <c r="A269" s="25" t="s">
        <v>501</v>
      </c>
      <c r="B269" s="25" t="s">
        <v>364</v>
      </c>
      <c r="C269" s="26" t="n">
        <v>46054</v>
      </c>
      <c r="D269" s="27" t="n">
        <v>51700</v>
      </c>
      <c r="E269" s="28" t="n">
        <v>622.5</v>
      </c>
      <c r="F269" s="29" t="n">
        <v>0.0612</v>
      </c>
      <c r="G269" s="29" t="n">
        <v>0.1655</v>
      </c>
      <c r="H269" s="30" t="n">
        <v>13.04</v>
      </c>
      <c r="I269" s="29" t="n">
        <v>0.033</v>
      </c>
      <c r="J269" s="29" t="n">
        <v>0.0257</v>
      </c>
      <c r="K269" s="29" t="n">
        <v>0.0427</v>
      </c>
      <c r="L269" s="27" t="n">
        <v>56</v>
      </c>
      <c r="M269" s="27" t="n">
        <v>21076</v>
      </c>
      <c r="N269" s="30" t="n">
        <v>40.1</v>
      </c>
      <c r="O269" s="30" t="n">
        <v>10.19</v>
      </c>
      <c r="P269" s="29" t="n">
        <v>0.0103</v>
      </c>
      <c r="Q269" s="27" t="n">
        <v>859500</v>
      </c>
      <c r="R269" s="27" t="n">
        <v>177711</v>
      </c>
      <c r="S269" s="27" t="n">
        <v>265462</v>
      </c>
      <c r="T269" s="29" t="n">
        <v>0.81</v>
      </c>
      <c r="U269" s="29" t="n">
        <v>0.353</v>
      </c>
      <c r="V269" s="29" t="n">
        <v>0.862</v>
      </c>
      <c r="W269" s="28" t="n">
        <v>12.8</v>
      </c>
    </row>
    <row r="270" customFormat="false" ht="15" hidden="false" customHeight="false" outlineLevel="0" collapsed="false">
      <c r="A270" s="25" t="s">
        <v>502</v>
      </c>
      <c r="B270" s="25" t="s">
        <v>364</v>
      </c>
      <c r="C270" s="26" t="n">
        <v>46082</v>
      </c>
      <c r="D270" s="27" t="n">
        <v>63783</v>
      </c>
      <c r="E270" s="28" t="n">
        <v>624</v>
      </c>
      <c r="F270" s="29" t="n">
        <v>0.0618</v>
      </c>
      <c r="G270" s="29" t="n">
        <v>0.166</v>
      </c>
      <c r="H270" s="30" t="n">
        <v>13.23</v>
      </c>
      <c r="I270" s="29" t="n">
        <v>0.0337</v>
      </c>
      <c r="J270" s="29" t="n">
        <v>0.0239</v>
      </c>
      <c r="K270" s="29" t="n">
        <v>0.0407</v>
      </c>
      <c r="L270" s="27" t="n">
        <v>61</v>
      </c>
      <c r="M270" s="27" t="n">
        <v>21095</v>
      </c>
      <c r="N270" s="30" t="n">
        <v>39.18</v>
      </c>
      <c r="O270" s="30" t="n">
        <v>9.95</v>
      </c>
      <c r="P270" s="29" t="n">
        <v>0.0104</v>
      </c>
      <c r="Q270" s="27" t="n">
        <v>859500</v>
      </c>
      <c r="R270" s="27" t="n">
        <v>169270</v>
      </c>
      <c r="S270" s="27" t="n">
        <v>290534</v>
      </c>
      <c r="T270" s="29" t="n">
        <v>0.792</v>
      </c>
      <c r="U270" s="29" t="n">
        <v>0.352</v>
      </c>
      <c r="V270" s="29" t="n">
        <v>0.847</v>
      </c>
      <c r="W270" s="28" t="n">
        <v>12.6</v>
      </c>
    </row>
    <row r="271" customFormat="false" ht="15" hidden="false" customHeight="false" outlineLevel="0" collapsed="false">
      <c r="A271" s="25" t="s">
        <v>503</v>
      </c>
      <c r="B271" s="25" t="s">
        <v>364</v>
      </c>
      <c r="C271" s="26" t="n">
        <v>46113</v>
      </c>
      <c r="D271" s="27" t="n">
        <v>57217</v>
      </c>
      <c r="E271" s="28" t="n">
        <v>617.9</v>
      </c>
      <c r="F271" s="29" t="n">
        <v>0.058</v>
      </c>
      <c r="G271" s="29" t="n">
        <v>0.1631</v>
      </c>
      <c r="H271" s="30" t="n">
        <v>12.76</v>
      </c>
      <c r="I271" s="29" t="n">
        <v>0.0316</v>
      </c>
      <c r="J271" s="29" t="n">
        <v>0.0231</v>
      </c>
      <c r="K271" s="29" t="n">
        <v>0.0402</v>
      </c>
      <c r="L271" s="27" t="n">
        <v>57</v>
      </c>
      <c r="M271" s="27" t="n">
        <v>21115</v>
      </c>
      <c r="N271" s="30" t="n">
        <v>40.78</v>
      </c>
      <c r="O271" s="30" t="n">
        <v>10.22</v>
      </c>
      <c r="P271" s="29" t="n">
        <v>0.0097</v>
      </c>
      <c r="Q271" s="27" t="n">
        <v>859500</v>
      </c>
      <c r="R271" s="27" t="n">
        <v>185274</v>
      </c>
      <c r="S271" s="27" t="n">
        <v>268550</v>
      </c>
      <c r="T271" s="29" t="n">
        <v>0.802</v>
      </c>
      <c r="U271" s="29" t="n">
        <v>0.363</v>
      </c>
      <c r="V271" s="29" t="n">
        <v>0.846</v>
      </c>
      <c r="W271" s="28" t="n">
        <v>12.4</v>
      </c>
    </row>
    <row r="272" customFormat="false" ht="15" hidden="false" customHeight="false" outlineLevel="0" collapsed="false">
      <c r="A272" s="25" t="s">
        <v>504</v>
      </c>
      <c r="B272" s="25" t="s">
        <v>364</v>
      </c>
      <c r="C272" s="26" t="n">
        <v>46143</v>
      </c>
      <c r="D272" s="27" t="n">
        <v>69853</v>
      </c>
      <c r="E272" s="28" t="n">
        <v>641.8</v>
      </c>
      <c r="F272" s="29" t="n">
        <v>0.0634</v>
      </c>
      <c r="G272" s="29" t="n">
        <v>0.1653</v>
      </c>
      <c r="H272" s="30" t="n">
        <v>13.9</v>
      </c>
      <c r="I272" s="29" t="n">
        <v>0.0321</v>
      </c>
      <c r="J272" s="29" t="n">
        <v>0.0241</v>
      </c>
      <c r="K272" s="29" t="n">
        <v>0.0388</v>
      </c>
      <c r="L272" s="27" t="n">
        <v>67</v>
      </c>
      <c r="M272" s="27" t="n">
        <v>21134</v>
      </c>
      <c r="N272" s="30" t="n">
        <v>40.53</v>
      </c>
      <c r="O272" s="30" t="n">
        <v>10.29</v>
      </c>
      <c r="P272" s="29" t="n">
        <v>0.0099</v>
      </c>
      <c r="Q272" s="27" t="n">
        <v>859500</v>
      </c>
      <c r="R272" s="27" t="n">
        <v>179497</v>
      </c>
      <c r="S272" s="27" t="n">
        <v>361385</v>
      </c>
      <c r="T272" s="29" t="n">
        <v>0.845</v>
      </c>
      <c r="U272" s="29" t="n">
        <v>0.364</v>
      </c>
      <c r="V272" s="29" t="n">
        <v>0.843</v>
      </c>
      <c r="W272" s="28" t="n">
        <v>12.4</v>
      </c>
    </row>
    <row r="273" customFormat="false" ht="15" hidden="false" customHeight="false" outlineLevel="0" collapsed="false">
      <c r="A273" s="25" t="s">
        <v>505</v>
      </c>
      <c r="B273" s="25" t="s">
        <v>364</v>
      </c>
      <c r="C273" s="26" t="n">
        <v>46174</v>
      </c>
      <c r="D273" s="27" t="n">
        <v>62011</v>
      </c>
      <c r="E273" s="28" t="n">
        <v>607.2</v>
      </c>
      <c r="F273" s="29" t="n">
        <v>0.0601</v>
      </c>
      <c r="G273" s="29" t="n">
        <v>0.1644</v>
      </c>
      <c r="H273" s="30" t="n">
        <v>12.64</v>
      </c>
      <c r="I273" s="29" t="n">
        <v>0.0335</v>
      </c>
      <c r="J273" s="29" t="n">
        <v>0.0243</v>
      </c>
      <c r="K273" s="29" t="n">
        <v>0.0441</v>
      </c>
      <c r="L273" s="27" t="n">
        <v>62</v>
      </c>
      <c r="M273" s="27" t="n">
        <v>21153</v>
      </c>
      <c r="N273" s="30" t="n">
        <v>40.08</v>
      </c>
      <c r="O273" s="30" t="n">
        <v>10.53</v>
      </c>
      <c r="P273" s="29" t="n">
        <v>0.0106</v>
      </c>
      <c r="Q273" s="27" t="n">
        <v>859500</v>
      </c>
      <c r="R273" s="27" t="n">
        <v>187606</v>
      </c>
      <c r="S273" s="27" t="n">
        <v>284419</v>
      </c>
      <c r="T273" s="29" t="n">
        <v>0.804</v>
      </c>
      <c r="U273" s="29" t="n">
        <v>0.341</v>
      </c>
      <c r="V273" s="29" t="n">
        <v>0.822</v>
      </c>
      <c r="W273" s="28" t="n">
        <v>12.9</v>
      </c>
    </row>
    <row r="274" customFormat="false" ht="15" hidden="false" customHeight="false" outlineLevel="0" collapsed="false">
      <c r="A274" s="25" t="s">
        <v>506</v>
      </c>
      <c r="B274" s="25" t="s">
        <v>364</v>
      </c>
      <c r="C274" s="26" t="n">
        <v>46204</v>
      </c>
      <c r="D274" s="27" t="n">
        <v>62407</v>
      </c>
      <c r="E274" s="28" t="n">
        <v>626.9</v>
      </c>
      <c r="F274" s="29" t="n">
        <v>0.0625</v>
      </c>
      <c r="G274" s="29" t="n">
        <v>0.166</v>
      </c>
      <c r="H274" s="30" t="n">
        <v>13.16</v>
      </c>
      <c r="I274" s="29" t="n">
        <v>0.0312</v>
      </c>
      <c r="J274" s="29" t="n">
        <v>0.0241</v>
      </c>
      <c r="K274" s="29" t="n">
        <v>0.0339</v>
      </c>
      <c r="L274" s="27" t="n">
        <v>61</v>
      </c>
      <c r="M274" s="27" t="n">
        <v>21172</v>
      </c>
      <c r="N274" s="30" t="n">
        <v>39.66</v>
      </c>
      <c r="O274" s="30" t="n">
        <v>10.43</v>
      </c>
      <c r="P274" s="29" t="n">
        <v>0.0099</v>
      </c>
      <c r="Q274" s="27" t="n">
        <v>859500</v>
      </c>
      <c r="R274" s="27" t="n">
        <v>173488</v>
      </c>
      <c r="S274" s="27" t="n">
        <v>272699</v>
      </c>
      <c r="T274" s="29" t="n">
        <v>0.832</v>
      </c>
      <c r="U274" s="29" t="n">
        <v>0.352</v>
      </c>
      <c r="V274" s="29" t="n">
        <v>0.859</v>
      </c>
      <c r="W274" s="28" t="n">
        <v>12.3</v>
      </c>
    </row>
    <row r="275" customFormat="false" ht="15" hidden="false" customHeight="false" outlineLevel="0" collapsed="false">
      <c r="A275" s="25" t="s">
        <v>507</v>
      </c>
      <c r="B275" s="25" t="s">
        <v>364</v>
      </c>
      <c r="C275" s="26" t="n">
        <v>46235</v>
      </c>
      <c r="D275" s="27" t="n">
        <v>60281</v>
      </c>
      <c r="E275" s="28" t="n">
        <v>637.9</v>
      </c>
      <c r="F275" s="29" t="n">
        <v>0.0545</v>
      </c>
      <c r="G275" s="29" t="n">
        <v>0.1648</v>
      </c>
      <c r="H275" s="30" t="n">
        <v>13.75</v>
      </c>
      <c r="I275" s="29" t="n">
        <v>0.0331</v>
      </c>
      <c r="J275" s="29" t="n">
        <v>0.0242</v>
      </c>
      <c r="K275" s="29" t="n">
        <v>0.0457</v>
      </c>
      <c r="L275" s="27" t="n">
        <v>58</v>
      </c>
      <c r="M275" s="27" t="n">
        <v>21191</v>
      </c>
      <c r="N275" s="30" t="n">
        <v>40.25</v>
      </c>
      <c r="O275" s="30" t="n">
        <v>10.46</v>
      </c>
      <c r="P275" s="29" t="n">
        <v>0.01</v>
      </c>
      <c r="Q275" s="27" t="n">
        <v>859500</v>
      </c>
      <c r="R275" s="27" t="n">
        <v>180202</v>
      </c>
      <c r="S275" s="27" t="n">
        <v>271436</v>
      </c>
      <c r="T275" s="29" t="n">
        <v>0.827</v>
      </c>
      <c r="U275" s="29" t="n">
        <v>0.339</v>
      </c>
      <c r="V275" s="29" t="n">
        <v>0.844</v>
      </c>
      <c r="W275" s="28" t="n">
        <v>12.7</v>
      </c>
    </row>
    <row r="276" customFormat="false" ht="15" hidden="false" customHeight="false" outlineLevel="0" collapsed="false">
      <c r="A276" s="25" t="s">
        <v>508</v>
      </c>
      <c r="B276" s="25" t="s">
        <v>364</v>
      </c>
      <c r="C276" s="26" t="n">
        <v>46266</v>
      </c>
      <c r="D276" s="27" t="n">
        <v>63706</v>
      </c>
      <c r="E276" s="28" t="n">
        <v>620.4</v>
      </c>
      <c r="F276" s="29" t="n">
        <v>0.0602</v>
      </c>
      <c r="G276" s="29" t="n">
        <v>0.1658</v>
      </c>
      <c r="H276" s="30" t="n">
        <v>13.48</v>
      </c>
      <c r="I276" s="29" t="n">
        <v>0.0329</v>
      </c>
      <c r="J276" s="29" t="n">
        <v>0.0243</v>
      </c>
      <c r="K276" s="29" t="n">
        <v>0.0422</v>
      </c>
      <c r="L276" s="27" t="n">
        <v>64</v>
      </c>
      <c r="M276" s="27" t="n">
        <v>21210</v>
      </c>
      <c r="N276" s="30" t="n">
        <v>39.71</v>
      </c>
      <c r="O276" s="30" t="n">
        <v>10.79</v>
      </c>
      <c r="P276" s="29" t="n">
        <v>0.0101</v>
      </c>
      <c r="Q276" s="27" t="n">
        <v>859500</v>
      </c>
      <c r="R276" s="27" t="n">
        <v>180411</v>
      </c>
      <c r="S276" s="27" t="n">
        <v>312697</v>
      </c>
      <c r="T276" s="29" t="n">
        <v>0.798</v>
      </c>
      <c r="U276" s="29" t="n">
        <v>0.347</v>
      </c>
      <c r="V276" s="29" t="n">
        <v>0.85</v>
      </c>
      <c r="W276" s="28" t="n">
        <v>12.4</v>
      </c>
    </row>
    <row r="277" customFormat="false" ht="15" hidden="false" customHeight="false" outlineLevel="0" collapsed="false">
      <c r="A277" s="25" t="s">
        <v>509</v>
      </c>
      <c r="B277" s="25" t="s">
        <v>365</v>
      </c>
      <c r="C277" s="26" t="n">
        <v>45931</v>
      </c>
      <c r="D277" s="27" t="n">
        <v>2191</v>
      </c>
      <c r="E277" s="28" t="n">
        <v>618.8</v>
      </c>
      <c r="F277" s="29" t="n">
        <v>0.0813</v>
      </c>
      <c r="G277" s="29" t="n">
        <v>0.1683</v>
      </c>
      <c r="H277" s="30" t="n">
        <v>13.07</v>
      </c>
      <c r="I277" s="29" t="n">
        <v>0.0191</v>
      </c>
      <c r="J277" s="29" t="n">
        <v>0.0372</v>
      </c>
      <c r="K277" s="29" t="n">
        <v>0.0277</v>
      </c>
      <c r="L277" s="27" t="n">
        <v>16</v>
      </c>
      <c r="M277" s="27" t="n">
        <v>21000</v>
      </c>
      <c r="N277" s="30" t="n">
        <v>45.88</v>
      </c>
      <c r="O277" s="30" t="n">
        <v>10.26</v>
      </c>
      <c r="P277" s="29" t="n">
        <v>0.0103</v>
      </c>
      <c r="Q277" s="27" t="n">
        <v>805500</v>
      </c>
      <c r="R277" s="27" t="n">
        <v>186847</v>
      </c>
      <c r="S277" s="27" t="n">
        <v>42265</v>
      </c>
      <c r="T277" s="29" t="n">
        <v>0.543</v>
      </c>
      <c r="U277" s="29" t="n">
        <v>0.334</v>
      </c>
      <c r="V277" s="29" t="n">
        <v>0.879</v>
      </c>
      <c r="W277" s="28" t="n">
        <v>12.1</v>
      </c>
    </row>
    <row r="278" customFormat="false" ht="15" hidden="false" customHeight="false" outlineLevel="0" collapsed="false">
      <c r="A278" s="25" t="s">
        <v>510</v>
      </c>
      <c r="B278" s="25" t="s">
        <v>365</v>
      </c>
      <c r="C278" s="26" t="n">
        <v>45962</v>
      </c>
      <c r="D278" s="27" t="n">
        <v>2125</v>
      </c>
      <c r="E278" s="28" t="n">
        <v>622.9</v>
      </c>
      <c r="F278" s="29" t="n">
        <v>0.0819</v>
      </c>
      <c r="G278" s="29" t="n">
        <v>0.1672</v>
      </c>
      <c r="H278" s="30" t="n">
        <v>12.99</v>
      </c>
      <c r="I278" s="29" t="n">
        <v>0.0175</v>
      </c>
      <c r="J278" s="29" t="n">
        <v>0.037</v>
      </c>
      <c r="K278" s="29" t="n">
        <v>0.0265</v>
      </c>
      <c r="L278" s="27" t="n">
        <v>16</v>
      </c>
      <c r="M278" s="27" t="n">
        <v>21019</v>
      </c>
      <c r="N278" s="30" t="n">
        <v>45.14</v>
      </c>
      <c r="O278" s="30" t="n">
        <v>10.26</v>
      </c>
      <c r="P278" s="29" t="n">
        <v>0.0101</v>
      </c>
      <c r="Q278" s="27" t="n">
        <v>805500</v>
      </c>
      <c r="R278" s="27" t="n">
        <v>176257</v>
      </c>
      <c r="S278" s="27" t="n">
        <v>40805</v>
      </c>
      <c r="T278" s="29" t="n">
        <v>0.594</v>
      </c>
      <c r="U278" s="29" t="n">
        <v>0.329</v>
      </c>
      <c r="V278" s="29" t="n">
        <v>0.882</v>
      </c>
      <c r="W278" s="28" t="n">
        <v>11.8</v>
      </c>
    </row>
    <row r="279" customFormat="false" ht="15" hidden="false" customHeight="false" outlineLevel="0" collapsed="false">
      <c r="A279" s="25" t="s">
        <v>511</v>
      </c>
      <c r="B279" s="25" t="s">
        <v>365</v>
      </c>
      <c r="C279" s="26" t="n">
        <v>45992</v>
      </c>
      <c r="D279" s="27" t="n">
        <v>2240</v>
      </c>
      <c r="E279" s="28" t="n">
        <v>621.6</v>
      </c>
      <c r="F279" s="29" t="n">
        <v>0.0851</v>
      </c>
      <c r="G279" s="29" t="n">
        <v>0.168</v>
      </c>
      <c r="H279" s="30" t="n">
        <v>12.64</v>
      </c>
      <c r="I279" s="29" t="n">
        <v>0.0167</v>
      </c>
      <c r="J279" s="29" t="n">
        <v>0.0383</v>
      </c>
      <c r="K279" s="29" t="n">
        <v>0.0333</v>
      </c>
      <c r="L279" s="27" t="n">
        <v>16</v>
      </c>
      <c r="M279" s="27" t="n">
        <v>21038</v>
      </c>
      <c r="N279" s="30" t="n">
        <v>46.09</v>
      </c>
      <c r="O279" s="30" t="n">
        <v>10.2</v>
      </c>
      <c r="P279" s="29" t="n">
        <v>0.0101</v>
      </c>
      <c r="Q279" s="27" t="n">
        <v>805500</v>
      </c>
      <c r="R279" s="27" t="n">
        <v>171574</v>
      </c>
      <c r="S279" s="27" t="n">
        <v>42583</v>
      </c>
      <c r="T279" s="29" t="n">
        <v>0.578</v>
      </c>
      <c r="U279" s="29" t="n">
        <v>0.329</v>
      </c>
      <c r="V279" s="29" t="n">
        <v>0.877</v>
      </c>
      <c r="W279" s="28" t="n">
        <v>11.9</v>
      </c>
    </row>
    <row r="280" customFormat="false" ht="15" hidden="false" customHeight="false" outlineLevel="0" collapsed="false">
      <c r="A280" s="25" t="s">
        <v>512</v>
      </c>
      <c r="B280" s="25" t="s">
        <v>365</v>
      </c>
      <c r="C280" s="26" t="n">
        <v>46023</v>
      </c>
      <c r="D280" s="27" t="n">
        <v>2086</v>
      </c>
      <c r="E280" s="28" t="n">
        <v>627.9</v>
      </c>
      <c r="F280" s="29" t="n">
        <v>0.0804</v>
      </c>
      <c r="G280" s="29" t="n">
        <v>0.1669</v>
      </c>
      <c r="H280" s="30" t="n">
        <v>13.21</v>
      </c>
      <c r="I280" s="29" t="n">
        <v>0.0164</v>
      </c>
      <c r="J280" s="29" t="n">
        <v>0.0363</v>
      </c>
      <c r="K280" s="29" t="n">
        <v>0.032</v>
      </c>
      <c r="L280" s="27" t="n">
        <v>16</v>
      </c>
      <c r="M280" s="27" t="n">
        <v>21057</v>
      </c>
      <c r="N280" s="30" t="n">
        <v>45.43</v>
      </c>
      <c r="O280" s="30" t="n">
        <v>10.52</v>
      </c>
      <c r="P280" s="29" t="n">
        <v>0.0098</v>
      </c>
      <c r="Q280" s="27" t="n">
        <v>805500</v>
      </c>
      <c r="R280" s="27" t="n">
        <v>177581</v>
      </c>
      <c r="S280" s="27" t="n">
        <v>40533</v>
      </c>
      <c r="T280" s="29" t="n">
        <v>0.572</v>
      </c>
      <c r="U280" s="29" t="n">
        <v>0.323</v>
      </c>
      <c r="V280" s="29" t="n">
        <v>0.87</v>
      </c>
      <c r="W280" s="28" t="n">
        <v>11.7</v>
      </c>
    </row>
    <row r="281" customFormat="false" ht="15" hidden="false" customHeight="false" outlineLevel="0" collapsed="false">
      <c r="A281" s="25" t="s">
        <v>513</v>
      </c>
      <c r="B281" s="25" t="s">
        <v>365</v>
      </c>
      <c r="C281" s="26" t="n">
        <v>46054</v>
      </c>
      <c r="D281" s="27" t="n">
        <v>1966</v>
      </c>
      <c r="E281" s="28" t="n">
        <v>629.6</v>
      </c>
      <c r="F281" s="29" t="n">
        <v>0.0781</v>
      </c>
      <c r="G281" s="29" t="n">
        <v>0.1662</v>
      </c>
      <c r="H281" s="30" t="n">
        <v>12.71</v>
      </c>
      <c r="I281" s="29" t="n">
        <v>0.0158</v>
      </c>
      <c r="J281" s="29" t="n">
        <v>0.0385</v>
      </c>
      <c r="K281" s="29" t="n">
        <v>0.0346</v>
      </c>
      <c r="L281" s="27" t="n">
        <v>16</v>
      </c>
      <c r="M281" s="27" t="n">
        <v>21076</v>
      </c>
      <c r="N281" s="30" t="n">
        <v>45.09</v>
      </c>
      <c r="O281" s="30" t="n">
        <v>10.09</v>
      </c>
      <c r="P281" s="29" t="n">
        <v>0.0098</v>
      </c>
      <c r="Q281" s="27" t="n">
        <v>805500</v>
      </c>
      <c r="R281" s="27" t="n">
        <v>182361</v>
      </c>
      <c r="S281" s="27" t="n">
        <v>37016</v>
      </c>
      <c r="T281" s="29" t="n">
        <v>0.554</v>
      </c>
      <c r="U281" s="29" t="n">
        <v>0.322</v>
      </c>
      <c r="V281" s="29" t="n">
        <v>0.868</v>
      </c>
      <c r="W281" s="28" t="n">
        <v>12.1</v>
      </c>
    </row>
    <row r="282" customFormat="false" ht="15" hidden="false" customHeight="false" outlineLevel="0" collapsed="false">
      <c r="A282" s="25" t="s">
        <v>514</v>
      </c>
      <c r="B282" s="25" t="s">
        <v>365</v>
      </c>
      <c r="C282" s="26" t="n">
        <v>46082</v>
      </c>
      <c r="D282" s="27" t="n">
        <v>2138</v>
      </c>
      <c r="E282" s="28" t="n">
        <v>639.1</v>
      </c>
      <c r="F282" s="29" t="n">
        <v>0.0819</v>
      </c>
      <c r="G282" s="29" t="n">
        <v>0.1699</v>
      </c>
      <c r="H282" s="30" t="n">
        <v>12.7</v>
      </c>
      <c r="I282" s="29" t="n">
        <v>0.0152</v>
      </c>
      <c r="J282" s="29" t="n">
        <v>0.0372</v>
      </c>
      <c r="K282" s="29" t="n">
        <v>0.0329</v>
      </c>
      <c r="L282" s="27" t="n">
        <v>16</v>
      </c>
      <c r="M282" s="27" t="n">
        <v>21095</v>
      </c>
      <c r="N282" s="30" t="n">
        <v>45.67</v>
      </c>
      <c r="O282" s="30" t="n">
        <v>10.42</v>
      </c>
      <c r="P282" s="29" t="n">
        <v>0.0099</v>
      </c>
      <c r="Q282" s="27" t="n">
        <v>805500</v>
      </c>
      <c r="R282" s="27" t="n">
        <v>179721</v>
      </c>
      <c r="S282" s="27" t="n">
        <v>40832</v>
      </c>
      <c r="T282" s="29" t="n">
        <v>0.611</v>
      </c>
      <c r="U282" s="29" t="n">
        <v>0.314</v>
      </c>
      <c r="V282" s="29" t="n">
        <v>0.862</v>
      </c>
      <c r="W282" s="28" t="n">
        <v>12</v>
      </c>
    </row>
    <row r="283" customFormat="false" ht="15" hidden="false" customHeight="false" outlineLevel="0" collapsed="false">
      <c r="A283" s="25" t="s">
        <v>515</v>
      </c>
      <c r="B283" s="25" t="s">
        <v>365</v>
      </c>
      <c r="C283" s="26" t="n">
        <v>46113</v>
      </c>
      <c r="D283" s="27" t="n">
        <v>2137</v>
      </c>
      <c r="E283" s="28" t="n">
        <v>637.3</v>
      </c>
      <c r="F283" s="29" t="n">
        <v>0.0824</v>
      </c>
      <c r="G283" s="29" t="n">
        <v>0.1669</v>
      </c>
      <c r="H283" s="30" t="n">
        <v>13.75</v>
      </c>
      <c r="I283" s="29" t="n">
        <v>0.016</v>
      </c>
      <c r="J283" s="29" t="n">
        <v>0.0382</v>
      </c>
      <c r="K283" s="29" t="n">
        <v>0.028</v>
      </c>
      <c r="L283" s="27" t="n">
        <v>16</v>
      </c>
      <c r="M283" s="27" t="n">
        <v>21115</v>
      </c>
      <c r="N283" s="30" t="n">
        <v>45.67</v>
      </c>
      <c r="O283" s="30" t="n">
        <v>10.33</v>
      </c>
      <c r="P283" s="29" t="n">
        <v>0.0098</v>
      </c>
      <c r="Q283" s="27" t="n">
        <v>805500</v>
      </c>
      <c r="R283" s="27" t="n">
        <v>165770</v>
      </c>
      <c r="S283" s="27" t="n">
        <v>42023</v>
      </c>
      <c r="T283" s="29" t="n">
        <v>0.585</v>
      </c>
      <c r="U283" s="29" t="n">
        <v>0.322</v>
      </c>
      <c r="V283" s="29" t="n">
        <v>0.865</v>
      </c>
      <c r="W283" s="28" t="n">
        <v>12</v>
      </c>
    </row>
    <row r="284" customFormat="false" ht="15" hidden="false" customHeight="false" outlineLevel="0" collapsed="false">
      <c r="A284" s="25" t="s">
        <v>516</v>
      </c>
      <c r="B284" s="25" t="s">
        <v>365</v>
      </c>
      <c r="C284" s="26" t="n">
        <v>46143</v>
      </c>
      <c r="D284" s="27" t="n">
        <v>2506</v>
      </c>
      <c r="E284" s="28" t="n">
        <v>625</v>
      </c>
      <c r="F284" s="29" t="n">
        <v>0.0777</v>
      </c>
      <c r="G284" s="29" t="n">
        <v>0.166</v>
      </c>
      <c r="H284" s="30" t="n">
        <v>12.45</v>
      </c>
      <c r="I284" s="29" t="n">
        <v>0.0181</v>
      </c>
      <c r="J284" s="29" t="n">
        <v>0.0373</v>
      </c>
      <c r="K284" s="29" t="n">
        <v>0.0374</v>
      </c>
      <c r="L284" s="27" t="n">
        <v>16</v>
      </c>
      <c r="M284" s="27" t="n">
        <v>21134</v>
      </c>
      <c r="N284" s="30" t="n">
        <v>45.42</v>
      </c>
      <c r="O284" s="30" t="n">
        <v>10.01</v>
      </c>
      <c r="P284" s="29" t="n">
        <v>0.0099</v>
      </c>
      <c r="Q284" s="27" t="n">
        <v>805500</v>
      </c>
      <c r="R284" s="27" t="n">
        <v>172345</v>
      </c>
      <c r="S284" s="27" t="n">
        <v>47970</v>
      </c>
      <c r="T284" s="29" t="n">
        <v>0.574</v>
      </c>
      <c r="U284" s="29" t="n">
        <v>0.353</v>
      </c>
      <c r="V284" s="29" t="n">
        <v>0.875</v>
      </c>
      <c r="W284" s="28" t="n">
        <v>12.4</v>
      </c>
    </row>
    <row r="285" customFormat="false" ht="15" hidden="false" customHeight="false" outlineLevel="0" collapsed="false">
      <c r="A285" s="25" t="s">
        <v>517</v>
      </c>
      <c r="B285" s="25" t="s">
        <v>365</v>
      </c>
      <c r="C285" s="26" t="n">
        <v>46174</v>
      </c>
      <c r="D285" s="27" t="n">
        <v>4070</v>
      </c>
      <c r="E285" s="28" t="n">
        <v>634.4</v>
      </c>
      <c r="F285" s="29" t="n">
        <v>0.0733</v>
      </c>
      <c r="G285" s="29" t="n">
        <v>0.1674</v>
      </c>
      <c r="H285" s="30" t="n">
        <v>13.32</v>
      </c>
      <c r="I285" s="29" t="n">
        <v>0.0172</v>
      </c>
      <c r="J285" s="29" t="n">
        <v>0.0371</v>
      </c>
      <c r="K285" s="29" t="n">
        <v>0.0367</v>
      </c>
      <c r="L285" s="27" t="n">
        <v>16</v>
      </c>
      <c r="M285" s="27" t="n">
        <v>21153</v>
      </c>
      <c r="N285" s="30" t="n">
        <v>44.61</v>
      </c>
      <c r="O285" s="30" t="n">
        <v>10.62</v>
      </c>
      <c r="P285" s="29" t="n">
        <v>0.0104</v>
      </c>
      <c r="Q285" s="27" t="n">
        <v>805500</v>
      </c>
      <c r="R285" s="27" t="n">
        <v>177229</v>
      </c>
      <c r="S285" s="27" t="n">
        <v>74187</v>
      </c>
      <c r="T285" s="29" t="n">
        <v>0.59</v>
      </c>
      <c r="U285" s="29" t="n">
        <v>0.341</v>
      </c>
      <c r="V285" s="29" t="n">
        <v>0.864</v>
      </c>
      <c r="W285" s="28" t="n">
        <v>12.2</v>
      </c>
    </row>
    <row r="286" customFormat="false" ht="15" hidden="false" customHeight="false" outlineLevel="0" collapsed="false">
      <c r="A286" s="25" t="s">
        <v>518</v>
      </c>
      <c r="B286" s="25" t="s">
        <v>365</v>
      </c>
      <c r="C286" s="26" t="n">
        <v>46204</v>
      </c>
      <c r="D286" s="27" t="n">
        <v>6053</v>
      </c>
      <c r="E286" s="28" t="n">
        <v>630.3</v>
      </c>
      <c r="F286" s="29" t="n">
        <v>0.0731</v>
      </c>
      <c r="G286" s="29" t="n">
        <v>0.1684</v>
      </c>
      <c r="H286" s="30" t="n">
        <v>13.58</v>
      </c>
      <c r="I286" s="29" t="n">
        <v>0.0175</v>
      </c>
      <c r="J286" s="29" t="n">
        <v>0.0352</v>
      </c>
      <c r="K286" s="29" t="n">
        <v>0.0371</v>
      </c>
      <c r="L286" s="27" t="n">
        <v>16</v>
      </c>
      <c r="M286" s="27" t="n">
        <v>21172</v>
      </c>
      <c r="N286" s="30" t="n">
        <v>44.26</v>
      </c>
      <c r="O286" s="30" t="n">
        <v>10.59</v>
      </c>
      <c r="P286" s="29" t="n">
        <v>0.01</v>
      </c>
      <c r="Q286" s="27" t="n">
        <v>805500</v>
      </c>
      <c r="R286" s="27" t="n">
        <v>161955</v>
      </c>
      <c r="S286" s="27" t="n">
        <v>96568</v>
      </c>
      <c r="T286" s="29" t="n">
        <v>0.639</v>
      </c>
      <c r="U286" s="29" t="n">
        <v>0.332</v>
      </c>
      <c r="V286" s="29" t="n">
        <v>0.865</v>
      </c>
      <c r="W286" s="28" t="n">
        <v>11.6</v>
      </c>
    </row>
    <row r="287" customFormat="false" ht="15" hidden="false" customHeight="false" outlineLevel="0" collapsed="false">
      <c r="A287" s="25" t="s">
        <v>519</v>
      </c>
      <c r="B287" s="25" t="s">
        <v>365</v>
      </c>
      <c r="C287" s="26" t="n">
        <v>46235</v>
      </c>
      <c r="D287" s="27" t="n">
        <v>8047</v>
      </c>
      <c r="E287" s="28" t="n">
        <v>633.1</v>
      </c>
      <c r="F287" s="29" t="n">
        <v>0.0724</v>
      </c>
      <c r="G287" s="29" t="n">
        <v>0.1639</v>
      </c>
      <c r="H287" s="30" t="n">
        <v>12.55</v>
      </c>
      <c r="I287" s="29" t="n">
        <v>0.0202</v>
      </c>
      <c r="J287" s="29" t="n">
        <v>0.0351</v>
      </c>
      <c r="K287" s="29" t="n">
        <v>0.0335</v>
      </c>
      <c r="L287" s="27" t="n">
        <v>16</v>
      </c>
      <c r="M287" s="27" t="n">
        <v>21191</v>
      </c>
      <c r="N287" s="30" t="n">
        <v>44.39</v>
      </c>
      <c r="O287" s="30" t="n">
        <v>10.42</v>
      </c>
      <c r="P287" s="29" t="n">
        <v>0.0101</v>
      </c>
      <c r="Q287" s="27" t="n">
        <v>805500</v>
      </c>
      <c r="R287" s="27" t="n">
        <v>166384</v>
      </c>
      <c r="S287" s="27" t="n">
        <v>112690</v>
      </c>
      <c r="T287" s="29" t="n">
        <v>0.656</v>
      </c>
      <c r="U287" s="29" t="n">
        <v>0.331</v>
      </c>
      <c r="V287" s="29" t="n">
        <v>0.875</v>
      </c>
      <c r="W287" s="28" t="n">
        <v>12.3</v>
      </c>
    </row>
    <row r="288" customFormat="false" ht="15" hidden="false" customHeight="false" outlineLevel="0" collapsed="false">
      <c r="A288" s="25" t="s">
        <v>520</v>
      </c>
      <c r="B288" s="25" t="s">
        <v>365</v>
      </c>
      <c r="C288" s="26" t="n">
        <v>46266</v>
      </c>
      <c r="D288" s="27" t="n">
        <v>9033</v>
      </c>
      <c r="E288" s="28" t="n">
        <v>627.5</v>
      </c>
      <c r="F288" s="29" t="n">
        <v>0.0665</v>
      </c>
      <c r="G288" s="29" t="n">
        <v>0.167</v>
      </c>
      <c r="H288" s="30" t="n">
        <v>13.43</v>
      </c>
      <c r="I288" s="29" t="n">
        <v>0.0179</v>
      </c>
      <c r="J288" s="29" t="n">
        <v>0.0331</v>
      </c>
      <c r="K288" s="29" t="n">
        <v>0.0285</v>
      </c>
      <c r="L288" s="27" t="n">
        <v>16</v>
      </c>
      <c r="M288" s="27" t="n">
        <v>21210</v>
      </c>
      <c r="N288" s="30" t="n">
        <v>43.38</v>
      </c>
      <c r="O288" s="30" t="n">
        <v>10.56</v>
      </c>
      <c r="P288" s="29" t="n">
        <v>0.01</v>
      </c>
      <c r="Q288" s="27" t="n">
        <v>805500</v>
      </c>
      <c r="R288" s="27" t="n">
        <v>176298</v>
      </c>
      <c r="S288" s="27" t="n">
        <v>124158</v>
      </c>
      <c r="T288" s="29" t="n">
        <v>0.677</v>
      </c>
      <c r="U288" s="29" t="n">
        <v>0.321</v>
      </c>
      <c r="V288" s="29" t="n">
        <v>0.906</v>
      </c>
      <c r="W288" s="28" t="n">
        <v>11.1</v>
      </c>
    </row>
    <row r="289" customFormat="false" ht="15" hidden="false" customHeight="false" outlineLevel="0" collapsed="false">
      <c r="A289" s="25" t="s">
        <v>521</v>
      </c>
      <c r="B289" s="25" t="s">
        <v>358</v>
      </c>
      <c r="C289" s="26" t="n">
        <v>45931</v>
      </c>
      <c r="D289" s="27" t="n">
        <v>23088</v>
      </c>
      <c r="E289" s="28" t="n">
        <v>703.9</v>
      </c>
      <c r="F289" s="29" t="n">
        <v>0.0729</v>
      </c>
      <c r="G289" s="29" t="n">
        <v>0.1627</v>
      </c>
      <c r="H289" s="30" t="n">
        <v>12.17</v>
      </c>
      <c r="I289" s="29" t="n">
        <v>0.0241</v>
      </c>
      <c r="J289" s="29" t="n">
        <v>0.0366</v>
      </c>
      <c r="K289" s="29" t="n">
        <v>0.0638</v>
      </c>
      <c r="L289" s="27" t="n">
        <v>19</v>
      </c>
      <c r="M289" s="27" t="n">
        <v>21000</v>
      </c>
      <c r="N289" s="30" t="n">
        <v>40.9</v>
      </c>
      <c r="O289" s="30" t="n">
        <v>10.34</v>
      </c>
      <c r="P289" s="29" t="n">
        <v>0.0103</v>
      </c>
      <c r="Q289" s="27" t="n">
        <v>544000</v>
      </c>
      <c r="R289" s="27" t="n">
        <v>170381</v>
      </c>
      <c r="S289" s="27" t="n">
        <v>237421</v>
      </c>
      <c r="T289" s="29" t="n">
        <v>0.712</v>
      </c>
      <c r="U289" s="29" t="n">
        <v>0.251</v>
      </c>
      <c r="V289" s="29" t="n">
        <v>0.806</v>
      </c>
      <c r="W289" s="28" t="n">
        <v>12.9</v>
      </c>
    </row>
    <row r="290" customFormat="false" ht="15" hidden="false" customHeight="false" outlineLevel="0" collapsed="false">
      <c r="A290" s="25" t="s">
        <v>522</v>
      </c>
      <c r="B290" s="25" t="s">
        <v>358</v>
      </c>
      <c r="C290" s="26" t="n">
        <v>45962</v>
      </c>
      <c r="D290" s="27" t="n">
        <v>26409</v>
      </c>
      <c r="E290" s="28" t="n">
        <v>690.2</v>
      </c>
      <c r="F290" s="29" t="n">
        <v>0.0705</v>
      </c>
      <c r="G290" s="29" t="n">
        <v>0.1686</v>
      </c>
      <c r="H290" s="30" t="n">
        <v>11.51</v>
      </c>
      <c r="I290" s="29" t="n">
        <v>0.0268</v>
      </c>
      <c r="J290" s="29" t="n">
        <v>0.0335</v>
      </c>
      <c r="K290" s="29" t="n">
        <v>0.0664</v>
      </c>
      <c r="L290" s="27" t="n">
        <v>23</v>
      </c>
      <c r="M290" s="27" t="n">
        <v>21019</v>
      </c>
      <c r="N290" s="30" t="n">
        <v>38.06</v>
      </c>
      <c r="O290" s="30" t="n">
        <v>10.28</v>
      </c>
      <c r="P290" s="29" t="n">
        <v>0.0096</v>
      </c>
      <c r="Q290" s="27" t="n">
        <v>544000</v>
      </c>
      <c r="R290" s="27" t="n">
        <v>169681</v>
      </c>
      <c r="S290" s="27" t="n">
        <v>255097</v>
      </c>
      <c r="T290" s="29" t="n">
        <v>0.763</v>
      </c>
      <c r="U290" s="29" t="n">
        <v>0.246</v>
      </c>
      <c r="V290" s="29" t="n">
        <v>0.816</v>
      </c>
      <c r="W290" s="28" t="n">
        <v>13</v>
      </c>
    </row>
    <row r="291" customFormat="false" ht="15" hidden="false" customHeight="false" outlineLevel="0" collapsed="false">
      <c r="A291" s="25" t="s">
        <v>523</v>
      </c>
      <c r="B291" s="25" t="s">
        <v>358</v>
      </c>
      <c r="C291" s="26" t="n">
        <v>45992</v>
      </c>
      <c r="D291" s="27" t="n">
        <v>25059</v>
      </c>
      <c r="E291" s="28" t="n">
        <v>691.9</v>
      </c>
      <c r="F291" s="29" t="n">
        <v>0.0662</v>
      </c>
      <c r="G291" s="29" t="n">
        <v>0.1662</v>
      </c>
      <c r="H291" s="30" t="n">
        <v>11.86</v>
      </c>
      <c r="I291" s="29" t="n">
        <v>0.0253</v>
      </c>
      <c r="J291" s="29" t="n">
        <v>0.0335</v>
      </c>
      <c r="K291" s="29" t="n">
        <v>0.0722</v>
      </c>
      <c r="L291" s="27" t="n">
        <v>21</v>
      </c>
      <c r="M291" s="27" t="n">
        <v>21038</v>
      </c>
      <c r="N291" s="30" t="n">
        <v>38.32</v>
      </c>
      <c r="O291" s="30" t="n">
        <v>10.52</v>
      </c>
      <c r="P291" s="29" t="n">
        <v>0.0104</v>
      </c>
      <c r="Q291" s="27" t="n">
        <v>544000</v>
      </c>
      <c r="R291" s="27" t="n">
        <v>157509</v>
      </c>
      <c r="S291" s="27" t="n">
        <v>209373</v>
      </c>
      <c r="T291" s="29" t="n">
        <v>0.761</v>
      </c>
      <c r="U291" s="29" t="n">
        <v>0.253</v>
      </c>
      <c r="V291" s="29" t="n">
        <v>0.816</v>
      </c>
      <c r="W291" s="28" t="n">
        <v>12.6</v>
      </c>
    </row>
    <row r="292" customFormat="false" ht="15" hidden="false" customHeight="false" outlineLevel="0" collapsed="false">
      <c r="A292" s="25" t="s">
        <v>524</v>
      </c>
      <c r="B292" s="25" t="s">
        <v>358</v>
      </c>
      <c r="C292" s="26" t="n">
        <v>46023</v>
      </c>
      <c r="D292" s="27" t="n">
        <v>23588</v>
      </c>
      <c r="E292" s="28" t="n">
        <v>705.1</v>
      </c>
      <c r="F292" s="29" t="n">
        <v>0.067</v>
      </c>
      <c r="G292" s="29" t="n">
        <v>0.1649</v>
      </c>
      <c r="H292" s="30" t="n">
        <v>12.56</v>
      </c>
      <c r="I292" s="29" t="n">
        <v>0.025</v>
      </c>
      <c r="J292" s="29" t="n">
        <v>0.0359</v>
      </c>
      <c r="K292" s="29" t="n">
        <v>0.069</v>
      </c>
      <c r="L292" s="27" t="n">
        <v>19</v>
      </c>
      <c r="M292" s="27" t="n">
        <v>21057</v>
      </c>
      <c r="N292" s="30" t="n">
        <v>39.72</v>
      </c>
      <c r="O292" s="30" t="n">
        <v>10.61</v>
      </c>
      <c r="P292" s="29" t="n">
        <v>0.0097</v>
      </c>
      <c r="Q292" s="27" t="n">
        <v>544000</v>
      </c>
      <c r="R292" s="27" t="n">
        <v>153588</v>
      </c>
      <c r="S292" s="27" t="n">
        <v>199720</v>
      </c>
      <c r="T292" s="29" t="n">
        <v>0.763</v>
      </c>
      <c r="U292" s="29" t="n">
        <v>0.264</v>
      </c>
      <c r="V292" s="29" t="n">
        <v>0.805</v>
      </c>
      <c r="W292" s="28" t="n">
        <v>13.3</v>
      </c>
    </row>
    <row r="293" customFormat="false" ht="15" hidden="false" customHeight="false" outlineLevel="0" collapsed="false">
      <c r="A293" s="25" t="s">
        <v>525</v>
      </c>
      <c r="B293" s="25" t="s">
        <v>358</v>
      </c>
      <c r="C293" s="26" t="n">
        <v>46054</v>
      </c>
      <c r="D293" s="27" t="n">
        <v>24001</v>
      </c>
      <c r="E293" s="28" t="n">
        <v>704.9</v>
      </c>
      <c r="F293" s="29" t="n">
        <v>0.069</v>
      </c>
      <c r="G293" s="29" t="n">
        <v>0.1658</v>
      </c>
      <c r="H293" s="30" t="n">
        <v>12.61</v>
      </c>
      <c r="I293" s="29" t="n">
        <v>0.0247</v>
      </c>
      <c r="J293" s="29" t="n">
        <v>0.0336</v>
      </c>
      <c r="K293" s="29" t="n">
        <v>0.0711</v>
      </c>
      <c r="L293" s="27" t="n">
        <v>21</v>
      </c>
      <c r="M293" s="27" t="n">
        <v>21076</v>
      </c>
      <c r="N293" s="30" t="n">
        <v>38.85</v>
      </c>
      <c r="O293" s="30" t="n">
        <v>10.17</v>
      </c>
      <c r="P293" s="29" t="n">
        <v>0.0094</v>
      </c>
      <c r="Q293" s="27" t="n">
        <v>544000</v>
      </c>
      <c r="R293" s="27" t="n">
        <v>166088</v>
      </c>
      <c r="S293" s="27" t="n">
        <v>188111</v>
      </c>
      <c r="T293" s="29" t="n">
        <v>0.765</v>
      </c>
      <c r="U293" s="29" t="n">
        <v>0.238</v>
      </c>
      <c r="V293" s="29" t="n">
        <v>0.812</v>
      </c>
      <c r="W293" s="28" t="n">
        <v>12.5</v>
      </c>
    </row>
    <row r="294" customFormat="false" ht="15" hidden="false" customHeight="false" outlineLevel="0" collapsed="false">
      <c r="A294" s="25" t="s">
        <v>526</v>
      </c>
      <c r="B294" s="25" t="s">
        <v>358</v>
      </c>
      <c r="C294" s="26" t="n">
        <v>46082</v>
      </c>
      <c r="D294" s="27" t="n">
        <v>28639</v>
      </c>
      <c r="E294" s="28" t="n">
        <v>702.1</v>
      </c>
      <c r="F294" s="29" t="n">
        <v>0.0658</v>
      </c>
      <c r="G294" s="29" t="n">
        <v>0.1641</v>
      </c>
      <c r="H294" s="30" t="n">
        <v>11.04</v>
      </c>
      <c r="I294" s="29" t="n">
        <v>0.0278</v>
      </c>
      <c r="J294" s="29" t="n">
        <v>0.0318</v>
      </c>
      <c r="K294" s="29" t="n">
        <v>0.0688</v>
      </c>
      <c r="L294" s="27" t="n">
        <v>24</v>
      </c>
      <c r="M294" s="27" t="n">
        <v>21095</v>
      </c>
      <c r="N294" s="30" t="n">
        <v>38.35</v>
      </c>
      <c r="O294" s="30" t="n">
        <v>10.35</v>
      </c>
      <c r="P294" s="29" t="n">
        <v>0.0101</v>
      </c>
      <c r="Q294" s="27" t="n">
        <v>544000</v>
      </c>
      <c r="R294" s="27" t="n">
        <v>160510</v>
      </c>
      <c r="S294" s="27" t="n">
        <v>214533</v>
      </c>
      <c r="T294" s="29" t="n">
        <v>0.781</v>
      </c>
      <c r="U294" s="29" t="n">
        <v>0.244</v>
      </c>
      <c r="V294" s="29" t="n">
        <v>0.823</v>
      </c>
      <c r="W294" s="28" t="n">
        <v>13.6</v>
      </c>
    </row>
    <row r="295" customFormat="false" ht="15" hidden="false" customHeight="false" outlineLevel="0" collapsed="false">
      <c r="A295" s="25" t="s">
        <v>527</v>
      </c>
      <c r="B295" s="25" t="s">
        <v>358</v>
      </c>
      <c r="C295" s="26" t="n">
        <v>46113</v>
      </c>
      <c r="D295" s="27" t="n">
        <v>30471</v>
      </c>
      <c r="E295" s="28" t="n">
        <v>701.7</v>
      </c>
      <c r="F295" s="29" t="n">
        <v>0.0669</v>
      </c>
      <c r="G295" s="29" t="n">
        <v>0.1666</v>
      </c>
      <c r="H295" s="30" t="n">
        <v>12.57</v>
      </c>
      <c r="I295" s="29" t="n">
        <v>0.0278</v>
      </c>
      <c r="J295" s="29" t="n">
        <v>0.0347</v>
      </c>
      <c r="K295" s="29" t="n">
        <v>0.0729</v>
      </c>
      <c r="L295" s="27" t="n">
        <v>27</v>
      </c>
      <c r="M295" s="27" t="n">
        <v>21115</v>
      </c>
      <c r="N295" s="30" t="n">
        <v>36.93</v>
      </c>
      <c r="O295" s="30" t="n">
        <v>10.25</v>
      </c>
      <c r="P295" s="29" t="n">
        <v>0.0097</v>
      </c>
      <c r="Q295" s="27" t="n">
        <v>544000</v>
      </c>
      <c r="R295" s="27" t="n">
        <v>172842</v>
      </c>
      <c r="S295" s="27" t="n">
        <v>211355</v>
      </c>
      <c r="T295" s="29" t="n">
        <v>0.782</v>
      </c>
      <c r="U295" s="29" t="n">
        <v>0.261</v>
      </c>
      <c r="V295" s="29" t="n">
        <v>0.818</v>
      </c>
      <c r="W295" s="28" t="n">
        <v>12.8</v>
      </c>
    </row>
    <row r="296" customFormat="false" ht="15" hidden="false" customHeight="false" outlineLevel="0" collapsed="false">
      <c r="A296" s="25" t="s">
        <v>528</v>
      </c>
      <c r="B296" s="25" t="s">
        <v>358</v>
      </c>
      <c r="C296" s="26" t="n">
        <v>46143</v>
      </c>
      <c r="D296" s="27" t="n">
        <v>32049</v>
      </c>
      <c r="E296" s="28" t="n">
        <v>689.7</v>
      </c>
      <c r="F296" s="29" t="n">
        <v>0.0679</v>
      </c>
      <c r="G296" s="29" t="n">
        <v>0.1644</v>
      </c>
      <c r="H296" s="30" t="n">
        <v>12.36</v>
      </c>
      <c r="I296" s="29" t="n">
        <v>0.027</v>
      </c>
      <c r="J296" s="29" t="n">
        <v>0.0325</v>
      </c>
      <c r="K296" s="29" t="n">
        <v>0.0646</v>
      </c>
      <c r="L296" s="27" t="n">
        <v>26</v>
      </c>
      <c r="M296" s="27" t="n">
        <v>21134</v>
      </c>
      <c r="N296" s="30" t="n">
        <v>36.8</v>
      </c>
      <c r="O296" s="30" t="n">
        <v>10.47</v>
      </c>
      <c r="P296" s="29" t="n">
        <v>0.01</v>
      </c>
      <c r="Q296" s="27" t="n">
        <v>544000</v>
      </c>
      <c r="R296" s="27" t="n">
        <v>167948</v>
      </c>
      <c r="S296" s="27" t="n">
        <v>204255</v>
      </c>
      <c r="T296" s="29" t="n">
        <v>0.777</v>
      </c>
      <c r="U296" s="29" t="n">
        <v>0.262</v>
      </c>
      <c r="V296" s="29" t="n">
        <v>0.838</v>
      </c>
      <c r="W296" s="28" t="n">
        <v>12.7</v>
      </c>
    </row>
    <row r="297" customFormat="false" ht="15" hidden="false" customHeight="false" outlineLevel="0" collapsed="false">
      <c r="A297" s="25" t="s">
        <v>529</v>
      </c>
      <c r="B297" s="25" t="s">
        <v>358</v>
      </c>
      <c r="C297" s="26" t="n">
        <v>46174</v>
      </c>
      <c r="D297" s="27" t="n">
        <v>29189</v>
      </c>
      <c r="E297" s="28" t="n">
        <v>681.7</v>
      </c>
      <c r="F297" s="29" t="n">
        <v>0.0659</v>
      </c>
      <c r="G297" s="29" t="n">
        <v>0.1693</v>
      </c>
      <c r="H297" s="30" t="n">
        <v>13.07</v>
      </c>
      <c r="I297" s="29" t="n">
        <v>0.0272</v>
      </c>
      <c r="J297" s="29" t="n">
        <v>0.0312</v>
      </c>
      <c r="K297" s="29" t="n">
        <v>0.0684</v>
      </c>
      <c r="L297" s="27" t="n">
        <v>25</v>
      </c>
      <c r="M297" s="27" t="n">
        <v>21153</v>
      </c>
      <c r="N297" s="30" t="n">
        <v>38.42</v>
      </c>
      <c r="O297" s="30" t="n">
        <v>10.57</v>
      </c>
      <c r="P297" s="29" t="n">
        <v>0.0101</v>
      </c>
      <c r="Q297" s="27" t="n">
        <v>544000</v>
      </c>
      <c r="R297" s="27" t="n">
        <v>168602</v>
      </c>
      <c r="S297" s="27" t="n">
        <v>196441</v>
      </c>
      <c r="T297" s="29" t="n">
        <v>0.79</v>
      </c>
      <c r="U297" s="29" t="n">
        <v>0.266</v>
      </c>
      <c r="V297" s="29" t="n">
        <v>0.816</v>
      </c>
      <c r="W297" s="28" t="n">
        <v>13.2</v>
      </c>
    </row>
    <row r="298" customFormat="false" ht="15" hidden="false" customHeight="false" outlineLevel="0" collapsed="false">
      <c r="A298" s="25" t="s">
        <v>530</v>
      </c>
      <c r="B298" s="25" t="s">
        <v>358</v>
      </c>
      <c r="C298" s="26" t="n">
        <v>46204</v>
      </c>
      <c r="D298" s="27" t="n">
        <v>32271</v>
      </c>
      <c r="E298" s="28" t="n">
        <v>684.7</v>
      </c>
      <c r="F298" s="29" t="n">
        <v>0.0674</v>
      </c>
      <c r="G298" s="29" t="n">
        <v>0.1682</v>
      </c>
      <c r="H298" s="30" t="n">
        <v>12.4</v>
      </c>
      <c r="I298" s="29" t="n">
        <v>0.0282</v>
      </c>
      <c r="J298" s="29" t="n">
        <v>0.0326</v>
      </c>
      <c r="K298" s="29" t="n">
        <v>0.0766</v>
      </c>
      <c r="L298" s="27" t="n">
        <v>28</v>
      </c>
      <c r="M298" s="27" t="n">
        <v>21172</v>
      </c>
      <c r="N298" s="30" t="n">
        <v>37.84</v>
      </c>
      <c r="O298" s="30" t="n">
        <v>10.49</v>
      </c>
      <c r="P298" s="29" t="n">
        <v>0.0099</v>
      </c>
      <c r="Q298" s="27" t="n">
        <v>544000</v>
      </c>
      <c r="R298" s="27" t="n">
        <v>164887</v>
      </c>
      <c r="S298" s="27" t="n">
        <v>191205</v>
      </c>
      <c r="T298" s="29" t="n">
        <v>0.81</v>
      </c>
      <c r="U298" s="29" t="n">
        <v>0.267</v>
      </c>
      <c r="V298" s="29" t="n">
        <v>0.826</v>
      </c>
      <c r="W298" s="28" t="n">
        <v>12.5</v>
      </c>
    </row>
    <row r="299" customFormat="false" ht="15" hidden="false" customHeight="false" outlineLevel="0" collapsed="false">
      <c r="A299" s="25" t="s">
        <v>531</v>
      </c>
      <c r="B299" s="25" t="s">
        <v>358</v>
      </c>
      <c r="C299" s="26" t="n">
        <v>46235</v>
      </c>
      <c r="D299" s="27" t="n">
        <v>32270</v>
      </c>
      <c r="E299" s="28" t="n">
        <v>704.7</v>
      </c>
      <c r="F299" s="29" t="n">
        <v>0.0646</v>
      </c>
      <c r="G299" s="29" t="n">
        <v>0.1682</v>
      </c>
      <c r="H299" s="30" t="n">
        <v>12.21</v>
      </c>
      <c r="I299" s="29" t="n">
        <v>0.0301</v>
      </c>
      <c r="J299" s="29" t="n">
        <v>0.033</v>
      </c>
      <c r="K299" s="29" t="n">
        <v>0.0735</v>
      </c>
      <c r="L299" s="27" t="n">
        <v>26</v>
      </c>
      <c r="M299" s="27" t="n">
        <v>21191</v>
      </c>
      <c r="N299" s="30" t="n">
        <v>37.36</v>
      </c>
      <c r="O299" s="30" t="n">
        <v>10.37</v>
      </c>
      <c r="P299" s="29" t="n">
        <v>0.0105</v>
      </c>
      <c r="Q299" s="27" t="n">
        <v>544000</v>
      </c>
      <c r="R299" s="27" t="n">
        <v>162379</v>
      </c>
      <c r="S299" s="27" t="n">
        <v>206079</v>
      </c>
      <c r="T299" s="29" t="n">
        <v>0.799</v>
      </c>
      <c r="U299" s="29" t="n">
        <v>0.257</v>
      </c>
      <c r="V299" s="29" t="n">
        <v>0.822</v>
      </c>
      <c r="W299" s="28" t="n">
        <v>12.8</v>
      </c>
    </row>
    <row r="300" customFormat="false" ht="15" hidden="false" customHeight="false" outlineLevel="0" collapsed="false">
      <c r="A300" s="25" t="s">
        <v>532</v>
      </c>
      <c r="B300" s="25" t="s">
        <v>358</v>
      </c>
      <c r="C300" s="26" t="n">
        <v>46266</v>
      </c>
      <c r="D300" s="27" t="n">
        <v>31294</v>
      </c>
      <c r="E300" s="28" t="n">
        <v>689.1</v>
      </c>
      <c r="F300" s="29" t="n">
        <v>0.0694</v>
      </c>
      <c r="G300" s="29" t="n">
        <v>0.1692</v>
      </c>
      <c r="H300" s="30" t="n">
        <v>12.35</v>
      </c>
      <c r="I300" s="29" t="n">
        <v>0.0279</v>
      </c>
      <c r="J300" s="29" t="n">
        <v>0.0313</v>
      </c>
      <c r="K300" s="29" t="n">
        <v>0.0676</v>
      </c>
      <c r="L300" s="27" t="n">
        <v>26</v>
      </c>
      <c r="M300" s="27" t="n">
        <v>21210</v>
      </c>
      <c r="N300" s="30" t="n">
        <v>37.98</v>
      </c>
      <c r="O300" s="30" t="n">
        <v>10.43</v>
      </c>
      <c r="P300" s="29" t="n">
        <v>0.0101</v>
      </c>
      <c r="Q300" s="27" t="n">
        <v>544000</v>
      </c>
      <c r="R300" s="27" t="n">
        <v>167787</v>
      </c>
      <c r="S300" s="27" t="n">
        <v>195403</v>
      </c>
      <c r="T300" s="29" t="n">
        <v>0.811</v>
      </c>
      <c r="U300" s="29" t="n">
        <v>0.252</v>
      </c>
      <c r="V300" s="29" t="n">
        <v>0.829</v>
      </c>
      <c r="W300" s="28" t="n">
        <v>12.9</v>
      </c>
    </row>
    <row r="301" customFormat="false" ht="15" hidden="false" customHeight="false" outlineLevel="0" collapsed="false">
      <c r="A301" s="25" t="s">
        <v>533</v>
      </c>
      <c r="B301" s="25" t="s">
        <v>367</v>
      </c>
      <c r="C301" s="26" t="n">
        <v>45931</v>
      </c>
      <c r="D301" s="27" t="n">
        <v>43906</v>
      </c>
      <c r="E301" s="28" t="n">
        <v>724.5</v>
      </c>
      <c r="F301" s="29" t="n">
        <v>0.0535</v>
      </c>
      <c r="G301" s="29" t="n">
        <v>0.1655</v>
      </c>
      <c r="H301" s="30" t="n">
        <v>11.82</v>
      </c>
      <c r="I301" s="29" t="n">
        <v>0.0338</v>
      </c>
      <c r="J301" s="29" t="n">
        <v>0.0203</v>
      </c>
      <c r="K301" s="29" t="n">
        <v>0.0216</v>
      </c>
      <c r="L301" s="27" t="n">
        <v>41</v>
      </c>
      <c r="M301" s="27" t="n">
        <v>21000</v>
      </c>
      <c r="N301" s="30" t="n">
        <v>35.19</v>
      </c>
      <c r="O301" s="30" t="n">
        <v>10.34</v>
      </c>
      <c r="P301" s="29" t="n">
        <v>0.0104</v>
      </c>
      <c r="Q301" s="27" t="n">
        <v>656000</v>
      </c>
      <c r="R301" s="27" t="n">
        <v>167654</v>
      </c>
      <c r="S301" s="27" t="n">
        <v>224952</v>
      </c>
      <c r="T301" s="29" t="n">
        <v>0.822</v>
      </c>
      <c r="U301" s="29" t="n">
        <v>0.193</v>
      </c>
      <c r="V301" s="29" t="n">
        <v>0.879</v>
      </c>
      <c r="W301" s="28" t="n">
        <v>11.9</v>
      </c>
    </row>
    <row r="302" customFormat="false" ht="15" hidden="false" customHeight="false" outlineLevel="0" collapsed="false">
      <c r="A302" s="25" t="s">
        <v>534</v>
      </c>
      <c r="B302" s="25" t="s">
        <v>367</v>
      </c>
      <c r="C302" s="26" t="n">
        <v>45962</v>
      </c>
      <c r="D302" s="27" t="n">
        <v>42399</v>
      </c>
      <c r="E302" s="28" t="n">
        <v>693.9</v>
      </c>
      <c r="F302" s="29" t="n">
        <v>0.0508</v>
      </c>
      <c r="G302" s="29" t="n">
        <v>0.1677</v>
      </c>
      <c r="H302" s="30" t="n">
        <v>11.49</v>
      </c>
      <c r="I302" s="29" t="n">
        <v>0.0322</v>
      </c>
      <c r="J302" s="29" t="n">
        <v>0.0211</v>
      </c>
      <c r="K302" s="29" t="n">
        <v>0.0269</v>
      </c>
      <c r="L302" s="27" t="n">
        <v>43</v>
      </c>
      <c r="M302" s="27" t="n">
        <v>21019</v>
      </c>
      <c r="N302" s="30" t="n">
        <v>35.98</v>
      </c>
      <c r="O302" s="30" t="n">
        <v>10.42</v>
      </c>
      <c r="P302" s="29" t="n">
        <v>0.0103</v>
      </c>
      <c r="Q302" s="27" t="n">
        <v>656000</v>
      </c>
      <c r="R302" s="27" t="n">
        <v>158505</v>
      </c>
      <c r="S302" s="27" t="n">
        <v>244906</v>
      </c>
      <c r="T302" s="29" t="n">
        <v>0.836</v>
      </c>
      <c r="U302" s="29" t="n">
        <v>0.2</v>
      </c>
      <c r="V302" s="29" t="n">
        <v>0.884</v>
      </c>
      <c r="W302" s="28" t="n">
        <v>12.1</v>
      </c>
    </row>
    <row r="303" customFormat="false" ht="15" hidden="false" customHeight="false" outlineLevel="0" collapsed="false">
      <c r="A303" s="25" t="s">
        <v>535</v>
      </c>
      <c r="B303" s="25" t="s">
        <v>367</v>
      </c>
      <c r="C303" s="26" t="n">
        <v>45992</v>
      </c>
      <c r="D303" s="27" t="n">
        <v>43514</v>
      </c>
      <c r="E303" s="28" t="n">
        <v>694.9</v>
      </c>
      <c r="F303" s="29" t="n">
        <v>0.0527</v>
      </c>
      <c r="G303" s="29" t="n">
        <v>0.1681</v>
      </c>
      <c r="H303" s="30" t="n">
        <v>11.57</v>
      </c>
      <c r="I303" s="29" t="n">
        <v>0.0326</v>
      </c>
      <c r="J303" s="29" t="n">
        <v>0.0202</v>
      </c>
      <c r="K303" s="29" t="n">
        <v>0.0345</v>
      </c>
      <c r="L303" s="27" t="n">
        <v>41</v>
      </c>
      <c r="M303" s="27" t="n">
        <v>21038</v>
      </c>
      <c r="N303" s="30" t="n">
        <v>35.47</v>
      </c>
      <c r="O303" s="30" t="n">
        <v>10.47</v>
      </c>
      <c r="P303" s="29" t="n">
        <v>0.0105</v>
      </c>
      <c r="Q303" s="27" t="n">
        <v>656000</v>
      </c>
      <c r="R303" s="27" t="n">
        <v>163835</v>
      </c>
      <c r="S303" s="27" t="n">
        <v>226077</v>
      </c>
      <c r="T303" s="29" t="n">
        <v>0.83</v>
      </c>
      <c r="U303" s="29" t="n">
        <v>0.195</v>
      </c>
      <c r="V303" s="29" t="n">
        <v>0.865</v>
      </c>
      <c r="W303" s="28" t="n">
        <v>12.2</v>
      </c>
    </row>
    <row r="304" customFormat="false" ht="15" hidden="false" customHeight="false" outlineLevel="0" collapsed="false">
      <c r="A304" s="25" t="s">
        <v>536</v>
      </c>
      <c r="B304" s="25" t="s">
        <v>367</v>
      </c>
      <c r="C304" s="26" t="n">
        <v>46023</v>
      </c>
      <c r="D304" s="27" t="n">
        <v>42626</v>
      </c>
      <c r="E304" s="28" t="n">
        <v>709.5</v>
      </c>
      <c r="F304" s="29" t="n">
        <v>0.052</v>
      </c>
      <c r="G304" s="29" t="n">
        <v>0.162</v>
      </c>
      <c r="H304" s="30" t="n">
        <v>11.75</v>
      </c>
      <c r="I304" s="29" t="n">
        <v>0.0325</v>
      </c>
      <c r="J304" s="29" t="n">
        <v>0.0211</v>
      </c>
      <c r="K304" s="29" t="n">
        <v>0.0291</v>
      </c>
      <c r="L304" s="27" t="n">
        <v>40</v>
      </c>
      <c r="M304" s="27" t="n">
        <v>21057</v>
      </c>
      <c r="N304" s="30" t="n">
        <v>35.21</v>
      </c>
      <c r="O304" s="30" t="n">
        <v>10.35</v>
      </c>
      <c r="P304" s="29" t="n">
        <v>0.0102</v>
      </c>
      <c r="Q304" s="27" t="n">
        <v>656000</v>
      </c>
      <c r="R304" s="27" t="n">
        <v>171287</v>
      </c>
      <c r="S304" s="27" t="n">
        <v>218304</v>
      </c>
      <c r="T304" s="29" t="n">
        <v>0.827</v>
      </c>
      <c r="U304" s="29" t="n">
        <v>0.207</v>
      </c>
      <c r="V304" s="29" t="n">
        <v>0.886</v>
      </c>
      <c r="W304" s="28" t="n">
        <v>11.5</v>
      </c>
    </row>
    <row r="305" customFormat="false" ht="15" hidden="false" customHeight="false" outlineLevel="0" collapsed="false">
      <c r="A305" s="25" t="s">
        <v>537</v>
      </c>
      <c r="B305" s="25" t="s">
        <v>367</v>
      </c>
      <c r="C305" s="26" t="n">
        <v>46054</v>
      </c>
      <c r="D305" s="27" t="n">
        <v>38690</v>
      </c>
      <c r="E305" s="28" t="n">
        <v>696.4</v>
      </c>
      <c r="F305" s="29" t="n">
        <v>0.0515</v>
      </c>
      <c r="G305" s="29" t="n">
        <v>0.1662</v>
      </c>
      <c r="H305" s="30" t="n">
        <v>11.49</v>
      </c>
      <c r="I305" s="29" t="n">
        <v>0.0339</v>
      </c>
      <c r="J305" s="29" t="n">
        <v>0.0213</v>
      </c>
      <c r="K305" s="29" t="n">
        <v>0.0319</v>
      </c>
      <c r="L305" s="27" t="n">
        <v>41</v>
      </c>
      <c r="M305" s="27" t="n">
        <v>21076</v>
      </c>
      <c r="N305" s="30" t="n">
        <v>35.08</v>
      </c>
      <c r="O305" s="30" t="n">
        <v>10.4</v>
      </c>
      <c r="P305" s="29" t="n">
        <v>0.0096</v>
      </c>
      <c r="Q305" s="27" t="n">
        <v>656000</v>
      </c>
      <c r="R305" s="27" t="n">
        <v>159436</v>
      </c>
      <c r="S305" s="27" t="n">
        <v>183504</v>
      </c>
      <c r="T305" s="29" t="n">
        <v>0.841</v>
      </c>
      <c r="U305" s="29" t="n">
        <v>0.22</v>
      </c>
      <c r="V305" s="29" t="n">
        <v>0.876</v>
      </c>
      <c r="W305" s="28" t="n">
        <v>11.9</v>
      </c>
    </row>
    <row r="306" customFormat="false" ht="15" hidden="false" customHeight="false" outlineLevel="0" collapsed="false">
      <c r="A306" s="25" t="s">
        <v>538</v>
      </c>
      <c r="B306" s="25" t="s">
        <v>367</v>
      </c>
      <c r="C306" s="26" t="n">
        <v>46082</v>
      </c>
      <c r="D306" s="27" t="n">
        <v>40038</v>
      </c>
      <c r="E306" s="28" t="n">
        <v>690.3</v>
      </c>
      <c r="F306" s="29" t="n">
        <v>0.0524</v>
      </c>
      <c r="G306" s="29" t="n">
        <v>0.1674</v>
      </c>
      <c r="H306" s="30" t="n">
        <v>12.05</v>
      </c>
      <c r="I306" s="29" t="n">
        <v>0.0326</v>
      </c>
      <c r="J306" s="29" t="n">
        <v>0.0213</v>
      </c>
      <c r="K306" s="29" t="n">
        <v>0.0285</v>
      </c>
      <c r="L306" s="27" t="n">
        <v>39</v>
      </c>
      <c r="M306" s="27" t="n">
        <v>21095</v>
      </c>
      <c r="N306" s="30" t="n">
        <v>35.42</v>
      </c>
      <c r="O306" s="30" t="n">
        <v>10.22</v>
      </c>
      <c r="P306" s="29" t="n">
        <v>0.0101</v>
      </c>
      <c r="Q306" s="27" t="n">
        <v>656000</v>
      </c>
      <c r="R306" s="27" t="n">
        <v>173857</v>
      </c>
      <c r="S306" s="27" t="n">
        <v>180373</v>
      </c>
      <c r="T306" s="29" t="n">
        <v>0.819</v>
      </c>
      <c r="U306" s="29" t="n">
        <v>0.199</v>
      </c>
      <c r="V306" s="29" t="n">
        <v>0.882</v>
      </c>
      <c r="W306" s="28" t="n">
        <v>11.7</v>
      </c>
    </row>
    <row r="307" customFormat="false" ht="15" hidden="false" customHeight="false" outlineLevel="0" collapsed="false">
      <c r="A307" s="25" t="s">
        <v>539</v>
      </c>
      <c r="B307" s="25" t="s">
        <v>367</v>
      </c>
      <c r="C307" s="26" t="n">
        <v>46113</v>
      </c>
      <c r="D307" s="27" t="n">
        <v>43288</v>
      </c>
      <c r="E307" s="28" t="n">
        <v>702.2</v>
      </c>
      <c r="F307" s="29" t="n">
        <v>0.0514</v>
      </c>
      <c r="G307" s="29" t="n">
        <v>0.1684</v>
      </c>
      <c r="H307" s="30" t="n">
        <v>11.19</v>
      </c>
      <c r="I307" s="29" t="n">
        <v>0.0322</v>
      </c>
      <c r="J307" s="29" t="n">
        <v>0.0209</v>
      </c>
      <c r="K307" s="29" t="n">
        <v>0.0274</v>
      </c>
      <c r="L307" s="27" t="n">
        <v>41</v>
      </c>
      <c r="M307" s="27" t="n">
        <v>21115</v>
      </c>
      <c r="N307" s="30" t="n">
        <v>35</v>
      </c>
      <c r="O307" s="30" t="n">
        <v>10.1</v>
      </c>
      <c r="P307" s="29" t="n">
        <v>0.0094</v>
      </c>
      <c r="Q307" s="27" t="n">
        <v>656000</v>
      </c>
      <c r="R307" s="27" t="n">
        <v>174188</v>
      </c>
      <c r="S307" s="27" t="n">
        <v>196215</v>
      </c>
      <c r="T307" s="29" t="n">
        <v>0.849</v>
      </c>
      <c r="U307" s="29" t="n">
        <v>0.21</v>
      </c>
      <c r="V307" s="29" t="n">
        <v>0.872</v>
      </c>
      <c r="W307" s="28" t="n">
        <v>12</v>
      </c>
    </row>
    <row r="308" customFormat="false" ht="15" hidden="false" customHeight="false" outlineLevel="0" collapsed="false">
      <c r="A308" s="25" t="s">
        <v>540</v>
      </c>
      <c r="B308" s="25" t="s">
        <v>367</v>
      </c>
      <c r="C308" s="26" t="n">
        <v>46143</v>
      </c>
      <c r="D308" s="27" t="n">
        <v>46398</v>
      </c>
      <c r="E308" s="28" t="n">
        <v>730.8</v>
      </c>
      <c r="F308" s="29" t="n">
        <v>0.0508</v>
      </c>
      <c r="G308" s="29" t="n">
        <v>0.1662</v>
      </c>
      <c r="H308" s="30" t="n">
        <v>11.98</v>
      </c>
      <c r="I308" s="29" t="n">
        <v>0.0323</v>
      </c>
      <c r="J308" s="29" t="n">
        <v>0.0209</v>
      </c>
      <c r="K308" s="29" t="n">
        <v>0.0342</v>
      </c>
      <c r="L308" s="27" t="n">
        <v>45</v>
      </c>
      <c r="M308" s="27" t="n">
        <v>21134</v>
      </c>
      <c r="N308" s="30" t="n">
        <v>35.4</v>
      </c>
      <c r="O308" s="30" t="n">
        <v>10.62</v>
      </c>
      <c r="P308" s="29" t="n">
        <v>0.0097</v>
      </c>
      <c r="Q308" s="27" t="n">
        <v>656000</v>
      </c>
      <c r="R308" s="27" t="n">
        <v>156284</v>
      </c>
      <c r="S308" s="27" t="n">
        <v>225674</v>
      </c>
      <c r="T308" s="29" t="n">
        <v>0.819</v>
      </c>
      <c r="U308" s="29" t="n">
        <v>0.214</v>
      </c>
      <c r="V308" s="29" t="n">
        <v>0.897</v>
      </c>
      <c r="W308" s="28" t="n">
        <v>11.3</v>
      </c>
    </row>
    <row r="309" customFormat="false" ht="15" hidden="false" customHeight="false" outlineLevel="0" collapsed="false">
      <c r="A309" s="25" t="s">
        <v>541</v>
      </c>
      <c r="B309" s="25" t="s">
        <v>367</v>
      </c>
      <c r="C309" s="26" t="n">
        <v>46174</v>
      </c>
      <c r="D309" s="27" t="n">
        <v>44497</v>
      </c>
      <c r="E309" s="28" t="n">
        <v>698.4</v>
      </c>
      <c r="F309" s="29" t="n">
        <v>0.0532</v>
      </c>
      <c r="G309" s="29" t="n">
        <v>0.1684</v>
      </c>
      <c r="H309" s="30" t="n">
        <v>11.8</v>
      </c>
      <c r="I309" s="29" t="n">
        <v>0.0343</v>
      </c>
      <c r="J309" s="29" t="n">
        <v>0.0205</v>
      </c>
      <c r="K309" s="29" t="n">
        <v>0.0241</v>
      </c>
      <c r="L309" s="27" t="n">
        <v>44</v>
      </c>
      <c r="M309" s="27" t="n">
        <v>21153</v>
      </c>
      <c r="N309" s="30" t="n">
        <v>35.17</v>
      </c>
      <c r="O309" s="30" t="n">
        <v>10.35</v>
      </c>
      <c r="P309" s="29" t="n">
        <v>0.0095</v>
      </c>
      <c r="Q309" s="27" t="n">
        <v>656000</v>
      </c>
      <c r="R309" s="27" t="n">
        <v>172396</v>
      </c>
      <c r="S309" s="27" t="n">
        <v>211258</v>
      </c>
      <c r="T309" s="29" t="n">
        <v>0.831</v>
      </c>
      <c r="U309" s="29" t="n">
        <v>0.221</v>
      </c>
      <c r="V309" s="29" t="n">
        <v>0.876</v>
      </c>
      <c r="W309" s="28" t="n">
        <v>11.4</v>
      </c>
    </row>
    <row r="310" customFormat="false" ht="15" hidden="false" customHeight="false" outlineLevel="0" collapsed="false">
      <c r="A310" s="25" t="s">
        <v>542</v>
      </c>
      <c r="B310" s="25" t="s">
        <v>367</v>
      </c>
      <c r="C310" s="26" t="n">
        <v>46204</v>
      </c>
      <c r="D310" s="27" t="n">
        <v>43823</v>
      </c>
      <c r="E310" s="28" t="n">
        <v>709.6</v>
      </c>
      <c r="F310" s="29" t="n">
        <v>0.0511</v>
      </c>
      <c r="G310" s="29" t="n">
        <v>0.1682</v>
      </c>
      <c r="H310" s="30" t="n">
        <v>11.8</v>
      </c>
      <c r="I310" s="29" t="n">
        <v>0.0338</v>
      </c>
      <c r="J310" s="29" t="n">
        <v>0.0199</v>
      </c>
      <c r="K310" s="29" t="n">
        <v>0.0342</v>
      </c>
      <c r="L310" s="27" t="n">
        <v>43</v>
      </c>
      <c r="M310" s="27" t="n">
        <v>21172</v>
      </c>
      <c r="N310" s="30" t="n">
        <v>35.62</v>
      </c>
      <c r="O310" s="30" t="n">
        <v>9.9</v>
      </c>
      <c r="P310" s="29" t="n">
        <v>0.0104</v>
      </c>
      <c r="Q310" s="27" t="n">
        <v>656000</v>
      </c>
      <c r="R310" s="27" t="n">
        <v>162402</v>
      </c>
      <c r="S310" s="27" t="n">
        <v>213379</v>
      </c>
      <c r="T310" s="29" t="n">
        <v>0.841</v>
      </c>
      <c r="U310" s="29" t="n">
        <v>0.202</v>
      </c>
      <c r="V310" s="29" t="n">
        <v>0.879</v>
      </c>
      <c r="W310" s="28" t="n">
        <v>11.7</v>
      </c>
    </row>
    <row r="311" customFormat="false" ht="15" hidden="false" customHeight="false" outlineLevel="0" collapsed="false">
      <c r="A311" s="25" t="s">
        <v>543</v>
      </c>
      <c r="B311" s="25" t="s">
        <v>367</v>
      </c>
      <c r="C311" s="26" t="n">
        <v>46235</v>
      </c>
      <c r="D311" s="27" t="n">
        <v>43188</v>
      </c>
      <c r="E311" s="28" t="n">
        <v>701.8</v>
      </c>
      <c r="F311" s="29" t="n">
        <v>0.051</v>
      </c>
      <c r="G311" s="29" t="n">
        <v>0.1652</v>
      </c>
      <c r="H311" s="30" t="n">
        <v>11.04</v>
      </c>
      <c r="I311" s="29" t="n">
        <v>0.0322</v>
      </c>
      <c r="J311" s="29" t="n">
        <v>0.0195</v>
      </c>
      <c r="K311" s="29" t="n">
        <v>0.032</v>
      </c>
      <c r="L311" s="27" t="n">
        <v>42</v>
      </c>
      <c r="M311" s="27" t="n">
        <v>21191</v>
      </c>
      <c r="N311" s="30" t="n">
        <v>35.61</v>
      </c>
      <c r="O311" s="30" t="n">
        <v>10.17</v>
      </c>
      <c r="P311" s="29" t="n">
        <v>0.0099</v>
      </c>
      <c r="Q311" s="27" t="n">
        <v>656000</v>
      </c>
      <c r="R311" s="27" t="n">
        <v>176311</v>
      </c>
      <c r="S311" s="27" t="n">
        <v>228530</v>
      </c>
      <c r="T311" s="29" t="n">
        <v>0.824</v>
      </c>
      <c r="U311" s="29" t="n">
        <v>0.207</v>
      </c>
      <c r="V311" s="29" t="n">
        <v>0.88</v>
      </c>
      <c r="W311" s="28" t="n">
        <v>11.3</v>
      </c>
    </row>
    <row r="312" customFormat="false" ht="15" hidden="false" customHeight="false" outlineLevel="0" collapsed="false">
      <c r="A312" s="25" t="s">
        <v>544</v>
      </c>
      <c r="B312" s="25" t="s">
        <v>367</v>
      </c>
      <c r="C312" s="26" t="n">
        <v>46266</v>
      </c>
      <c r="D312" s="27" t="n">
        <v>44956</v>
      </c>
      <c r="E312" s="28" t="n">
        <v>705.2</v>
      </c>
      <c r="F312" s="29" t="n">
        <v>0.052</v>
      </c>
      <c r="G312" s="29" t="n">
        <v>0.1688</v>
      </c>
      <c r="H312" s="30" t="n">
        <v>11.76</v>
      </c>
      <c r="I312" s="29" t="n">
        <v>0.0336</v>
      </c>
      <c r="J312" s="29" t="n">
        <v>0.0202</v>
      </c>
      <c r="K312" s="29" t="n">
        <v>0.0353</v>
      </c>
      <c r="L312" s="27" t="n">
        <v>45</v>
      </c>
      <c r="M312" s="27" t="n">
        <v>21210</v>
      </c>
      <c r="N312" s="30" t="n">
        <v>35.9</v>
      </c>
      <c r="O312" s="30" t="n">
        <v>10.27</v>
      </c>
      <c r="P312" s="29" t="n">
        <v>0.0102</v>
      </c>
      <c r="Q312" s="27" t="n">
        <v>656000</v>
      </c>
      <c r="R312" s="27" t="n">
        <v>164318</v>
      </c>
      <c r="S312" s="27" t="n">
        <v>224949</v>
      </c>
      <c r="T312" s="29" t="n">
        <v>0.85</v>
      </c>
      <c r="U312" s="29" t="n">
        <v>0.2</v>
      </c>
      <c r="V312" s="29" t="n">
        <v>0.887</v>
      </c>
      <c r="W312" s="28" t="n">
        <v>11.9</v>
      </c>
    </row>
    <row r="313" customFormat="false" ht="15" hidden="false" customHeight="false" outlineLevel="0" collapsed="false">
      <c r="A313" s="25" t="s">
        <v>545</v>
      </c>
      <c r="B313" s="25" t="s">
        <v>366</v>
      </c>
      <c r="C313" s="26" t="n">
        <v>45931</v>
      </c>
      <c r="D313" s="27" t="n">
        <v>46896</v>
      </c>
      <c r="E313" s="28" t="n">
        <v>666.2</v>
      </c>
      <c r="F313" s="29" t="n">
        <v>0.0565</v>
      </c>
      <c r="G313" s="29" t="n">
        <v>0.1712</v>
      </c>
      <c r="H313" s="30" t="n">
        <v>14.04</v>
      </c>
      <c r="I313" s="29" t="n">
        <v>0.0326</v>
      </c>
      <c r="J313" s="29" t="n">
        <v>0.0322</v>
      </c>
      <c r="K313" s="29" t="n">
        <v>0.0653</v>
      </c>
      <c r="L313" s="27" t="n">
        <v>43</v>
      </c>
      <c r="M313" s="27" t="n">
        <v>21000</v>
      </c>
      <c r="N313" s="30" t="n">
        <v>38.63</v>
      </c>
      <c r="O313" s="30" t="n">
        <v>10.39</v>
      </c>
      <c r="P313" s="29" t="n">
        <v>0.0096</v>
      </c>
      <c r="Q313" s="27" t="n">
        <v>549000</v>
      </c>
      <c r="R313" s="27" t="n">
        <v>181800</v>
      </c>
      <c r="S313" s="27" t="n">
        <v>370817</v>
      </c>
      <c r="T313" s="29" t="n">
        <v>0.777</v>
      </c>
      <c r="U313" s="29" t="n">
        <v>0.362</v>
      </c>
      <c r="V313" s="29" t="n">
        <v>0.824</v>
      </c>
      <c r="W313" s="28" t="n">
        <v>12.6</v>
      </c>
    </row>
    <row r="314" customFormat="false" ht="15" hidden="false" customHeight="false" outlineLevel="0" collapsed="false">
      <c r="A314" s="25" t="s">
        <v>546</v>
      </c>
      <c r="B314" s="25" t="s">
        <v>366</v>
      </c>
      <c r="C314" s="26" t="n">
        <v>45962</v>
      </c>
      <c r="D314" s="27" t="n">
        <v>50470</v>
      </c>
      <c r="E314" s="28" t="n">
        <v>673</v>
      </c>
      <c r="F314" s="29" t="n">
        <v>0.0543</v>
      </c>
      <c r="G314" s="29" t="n">
        <v>0.1654</v>
      </c>
      <c r="H314" s="30" t="n">
        <v>12.76</v>
      </c>
      <c r="I314" s="29" t="n">
        <v>0.0318</v>
      </c>
      <c r="J314" s="29" t="n">
        <v>0.0312</v>
      </c>
      <c r="K314" s="29" t="n">
        <v>0.0593</v>
      </c>
      <c r="L314" s="27" t="n">
        <v>47</v>
      </c>
      <c r="M314" s="27" t="n">
        <v>21019</v>
      </c>
      <c r="N314" s="30" t="n">
        <v>39.11</v>
      </c>
      <c r="O314" s="30" t="n">
        <v>10.57</v>
      </c>
      <c r="P314" s="29" t="n">
        <v>0.01</v>
      </c>
      <c r="Q314" s="27" t="n">
        <v>549000</v>
      </c>
      <c r="R314" s="27" t="n">
        <v>184662</v>
      </c>
      <c r="S314" s="27" t="n">
        <v>381846</v>
      </c>
      <c r="T314" s="29" t="n">
        <v>0.771</v>
      </c>
      <c r="U314" s="29" t="n">
        <v>0.344</v>
      </c>
      <c r="V314" s="29" t="n">
        <v>0.849</v>
      </c>
      <c r="W314" s="28" t="n">
        <v>12.3</v>
      </c>
    </row>
    <row r="315" customFormat="false" ht="15" hidden="false" customHeight="false" outlineLevel="0" collapsed="false">
      <c r="A315" s="25" t="s">
        <v>547</v>
      </c>
      <c r="B315" s="25" t="s">
        <v>366</v>
      </c>
      <c r="C315" s="26" t="n">
        <v>45992</v>
      </c>
      <c r="D315" s="27" t="n">
        <v>50844</v>
      </c>
      <c r="E315" s="28" t="n">
        <v>648.8</v>
      </c>
      <c r="F315" s="29" t="n">
        <v>0.0563</v>
      </c>
      <c r="G315" s="29" t="n">
        <v>0.1633</v>
      </c>
      <c r="H315" s="30" t="n">
        <v>14.03</v>
      </c>
      <c r="I315" s="29" t="n">
        <v>0.0332</v>
      </c>
      <c r="J315" s="29" t="n">
        <v>0.0311</v>
      </c>
      <c r="K315" s="29" t="n">
        <v>0.0728</v>
      </c>
      <c r="L315" s="27" t="n">
        <v>47</v>
      </c>
      <c r="M315" s="27" t="n">
        <v>21038</v>
      </c>
      <c r="N315" s="30" t="n">
        <v>38.18</v>
      </c>
      <c r="O315" s="30" t="n">
        <v>10.41</v>
      </c>
      <c r="P315" s="29" t="n">
        <v>0.0097</v>
      </c>
      <c r="Q315" s="27" t="n">
        <v>549000</v>
      </c>
      <c r="R315" s="27" t="n">
        <v>173276</v>
      </c>
      <c r="S315" s="27" t="n">
        <v>390282</v>
      </c>
      <c r="T315" s="29" t="n">
        <v>0.752</v>
      </c>
      <c r="U315" s="29" t="n">
        <v>0.349</v>
      </c>
      <c r="V315" s="29" t="n">
        <v>0.808</v>
      </c>
      <c r="W315" s="28" t="n">
        <v>13.3</v>
      </c>
    </row>
    <row r="316" customFormat="false" ht="15" hidden="false" customHeight="false" outlineLevel="0" collapsed="false">
      <c r="A316" s="25" t="s">
        <v>548</v>
      </c>
      <c r="B316" s="25" t="s">
        <v>366</v>
      </c>
      <c r="C316" s="26" t="n">
        <v>46023</v>
      </c>
      <c r="D316" s="27" t="n">
        <v>54292</v>
      </c>
      <c r="E316" s="28" t="n">
        <v>640.3</v>
      </c>
      <c r="F316" s="29" t="n">
        <v>0.0575</v>
      </c>
      <c r="G316" s="29" t="n">
        <v>0.1646</v>
      </c>
      <c r="H316" s="30" t="n">
        <v>13.71</v>
      </c>
      <c r="I316" s="29" t="n">
        <v>0.0321</v>
      </c>
      <c r="J316" s="29" t="n">
        <v>0.0319</v>
      </c>
      <c r="K316" s="29" t="n">
        <v>0.0662</v>
      </c>
      <c r="L316" s="27" t="n">
        <v>51</v>
      </c>
      <c r="M316" s="27" t="n">
        <v>21057</v>
      </c>
      <c r="N316" s="30" t="n">
        <v>38.19</v>
      </c>
      <c r="O316" s="30" t="n">
        <v>10.51</v>
      </c>
      <c r="P316" s="29" t="n">
        <v>0.0098</v>
      </c>
      <c r="Q316" s="27" t="n">
        <v>549000</v>
      </c>
      <c r="R316" s="27" t="n">
        <v>180144</v>
      </c>
      <c r="S316" s="27" t="n">
        <v>354400</v>
      </c>
      <c r="T316" s="29" t="n">
        <v>0.774</v>
      </c>
      <c r="U316" s="29" t="n">
        <v>0.333</v>
      </c>
      <c r="V316" s="29" t="n">
        <v>0.807</v>
      </c>
      <c r="W316" s="28" t="n">
        <v>13.5</v>
      </c>
    </row>
    <row r="317" customFormat="false" ht="15" hidden="false" customHeight="false" outlineLevel="0" collapsed="false">
      <c r="A317" s="25" t="s">
        <v>549</v>
      </c>
      <c r="B317" s="25" t="s">
        <v>366</v>
      </c>
      <c r="C317" s="26" t="n">
        <v>46054</v>
      </c>
      <c r="D317" s="27" t="n">
        <v>45675</v>
      </c>
      <c r="E317" s="28" t="n">
        <v>657.9</v>
      </c>
      <c r="F317" s="29" t="n">
        <v>0.0545</v>
      </c>
      <c r="G317" s="29" t="n">
        <v>0.1654</v>
      </c>
      <c r="H317" s="30" t="n">
        <v>13.79</v>
      </c>
      <c r="I317" s="29" t="n">
        <v>0.0317</v>
      </c>
      <c r="J317" s="29" t="n">
        <v>0.0302</v>
      </c>
      <c r="K317" s="29" t="n">
        <v>0.0531</v>
      </c>
      <c r="L317" s="27" t="n">
        <v>47</v>
      </c>
      <c r="M317" s="27" t="n">
        <v>21076</v>
      </c>
      <c r="N317" s="30" t="n">
        <v>37.92</v>
      </c>
      <c r="O317" s="30" t="n">
        <v>10.55</v>
      </c>
      <c r="P317" s="29" t="n">
        <v>0.0098</v>
      </c>
      <c r="Q317" s="27" t="n">
        <v>549000</v>
      </c>
      <c r="R317" s="27" t="n">
        <v>163515</v>
      </c>
      <c r="S317" s="27" t="n">
        <v>307453</v>
      </c>
      <c r="T317" s="29" t="n">
        <v>0.762</v>
      </c>
      <c r="U317" s="29" t="n">
        <v>0.344</v>
      </c>
      <c r="V317" s="29" t="n">
        <v>0.83</v>
      </c>
      <c r="W317" s="28" t="n">
        <v>12.8</v>
      </c>
    </row>
    <row r="318" customFormat="false" ht="15" hidden="false" customHeight="false" outlineLevel="0" collapsed="false">
      <c r="A318" s="25" t="s">
        <v>550</v>
      </c>
      <c r="B318" s="25" t="s">
        <v>366</v>
      </c>
      <c r="C318" s="26" t="n">
        <v>46082</v>
      </c>
      <c r="D318" s="27" t="n">
        <v>49585</v>
      </c>
      <c r="E318" s="28" t="n">
        <v>669.1</v>
      </c>
      <c r="F318" s="29" t="n">
        <v>0.0574</v>
      </c>
      <c r="G318" s="29" t="n">
        <v>0.1654</v>
      </c>
      <c r="H318" s="30" t="n">
        <v>12.51</v>
      </c>
      <c r="I318" s="29" t="n">
        <v>0.0325</v>
      </c>
      <c r="J318" s="29" t="n">
        <v>0.0304</v>
      </c>
      <c r="K318" s="29" t="n">
        <v>0.0682</v>
      </c>
      <c r="L318" s="27" t="n">
        <v>46</v>
      </c>
      <c r="M318" s="27" t="n">
        <v>21095</v>
      </c>
      <c r="N318" s="30" t="n">
        <v>38.31</v>
      </c>
      <c r="O318" s="30" t="n">
        <v>10.46</v>
      </c>
      <c r="P318" s="29" t="n">
        <v>0.0101</v>
      </c>
      <c r="Q318" s="27" t="n">
        <v>549000</v>
      </c>
      <c r="R318" s="27" t="n">
        <v>178890</v>
      </c>
      <c r="S318" s="27" t="n">
        <v>328129</v>
      </c>
      <c r="T318" s="29" t="n">
        <v>0.813</v>
      </c>
      <c r="U318" s="29" t="n">
        <v>0.336</v>
      </c>
      <c r="V318" s="29" t="n">
        <v>0.804</v>
      </c>
      <c r="W318" s="28" t="n">
        <v>13.4</v>
      </c>
    </row>
    <row r="319" customFormat="false" ht="15" hidden="false" customHeight="false" outlineLevel="0" collapsed="false">
      <c r="A319" s="25" t="s">
        <v>551</v>
      </c>
      <c r="B319" s="25" t="s">
        <v>366</v>
      </c>
      <c r="C319" s="26" t="n">
        <v>46113</v>
      </c>
      <c r="D319" s="27" t="n">
        <v>50844</v>
      </c>
      <c r="E319" s="28" t="n">
        <v>662.7</v>
      </c>
      <c r="F319" s="29" t="n">
        <v>0.055</v>
      </c>
      <c r="G319" s="29" t="n">
        <v>0.1678</v>
      </c>
      <c r="H319" s="30" t="n">
        <v>13.72</v>
      </c>
      <c r="I319" s="29" t="n">
        <v>0.0322</v>
      </c>
      <c r="J319" s="29" t="n">
        <v>0.0327</v>
      </c>
      <c r="K319" s="29" t="n">
        <v>0.0638</v>
      </c>
      <c r="L319" s="27" t="n">
        <v>48</v>
      </c>
      <c r="M319" s="27" t="n">
        <v>21115</v>
      </c>
      <c r="N319" s="30" t="n">
        <v>39.14</v>
      </c>
      <c r="O319" s="30" t="n">
        <v>10.88</v>
      </c>
      <c r="P319" s="29" t="n">
        <v>0.01</v>
      </c>
      <c r="Q319" s="27" t="n">
        <v>549000</v>
      </c>
      <c r="R319" s="27" t="n">
        <v>174520</v>
      </c>
      <c r="S319" s="27" t="n">
        <v>279959</v>
      </c>
      <c r="T319" s="29" t="n">
        <v>0.808</v>
      </c>
      <c r="U319" s="29" t="n">
        <v>0.352</v>
      </c>
      <c r="V319" s="29" t="n">
        <v>0.823</v>
      </c>
      <c r="W319" s="28" t="n">
        <v>13</v>
      </c>
    </row>
    <row r="320" customFormat="false" ht="15" hidden="false" customHeight="false" outlineLevel="0" collapsed="false">
      <c r="A320" s="25" t="s">
        <v>552</v>
      </c>
      <c r="B320" s="25" t="s">
        <v>366</v>
      </c>
      <c r="C320" s="26" t="n">
        <v>46143</v>
      </c>
      <c r="D320" s="27" t="n">
        <v>56292</v>
      </c>
      <c r="E320" s="28" t="n">
        <v>676.3</v>
      </c>
      <c r="F320" s="29" t="n">
        <v>0.0521</v>
      </c>
      <c r="G320" s="29" t="n">
        <v>0.1636</v>
      </c>
      <c r="H320" s="30" t="n">
        <v>13.21</v>
      </c>
      <c r="I320" s="29" t="n">
        <v>0.0318</v>
      </c>
      <c r="J320" s="29" t="n">
        <v>0.0312</v>
      </c>
      <c r="K320" s="29" t="n">
        <v>0.0604</v>
      </c>
      <c r="L320" s="27" t="n">
        <v>51</v>
      </c>
      <c r="M320" s="27" t="n">
        <v>21134</v>
      </c>
      <c r="N320" s="30" t="n">
        <v>38.69</v>
      </c>
      <c r="O320" s="30" t="n">
        <v>10.38</v>
      </c>
      <c r="P320" s="29" t="n">
        <v>0.0105</v>
      </c>
      <c r="Q320" s="27" t="n">
        <v>549000</v>
      </c>
      <c r="R320" s="27" t="n">
        <v>172944</v>
      </c>
      <c r="S320" s="27" t="n">
        <v>350460</v>
      </c>
      <c r="T320" s="29" t="n">
        <v>0.78</v>
      </c>
      <c r="U320" s="29" t="n">
        <v>0.359</v>
      </c>
      <c r="V320" s="29" t="n">
        <v>0.81</v>
      </c>
      <c r="W320" s="28" t="n">
        <v>13.1</v>
      </c>
    </row>
    <row r="321" customFormat="false" ht="15" hidden="false" customHeight="false" outlineLevel="0" collapsed="false">
      <c r="A321" s="25" t="s">
        <v>553</v>
      </c>
      <c r="B321" s="25" t="s">
        <v>366</v>
      </c>
      <c r="C321" s="26" t="n">
        <v>46174</v>
      </c>
      <c r="D321" s="27" t="n">
        <v>56629</v>
      </c>
      <c r="E321" s="28" t="n">
        <v>662.7</v>
      </c>
      <c r="F321" s="29" t="n">
        <v>0.0499</v>
      </c>
      <c r="G321" s="29" t="n">
        <v>0.1655</v>
      </c>
      <c r="H321" s="30" t="n">
        <v>14.05</v>
      </c>
      <c r="I321" s="29" t="n">
        <v>0.0338</v>
      </c>
      <c r="J321" s="29" t="n">
        <v>0.0314</v>
      </c>
      <c r="K321" s="29" t="n">
        <v>0.0565</v>
      </c>
      <c r="L321" s="27" t="n">
        <v>54</v>
      </c>
      <c r="M321" s="27" t="n">
        <v>21153</v>
      </c>
      <c r="N321" s="30" t="n">
        <v>37.99</v>
      </c>
      <c r="O321" s="30" t="n">
        <v>10.43</v>
      </c>
      <c r="P321" s="29" t="n">
        <v>0.0103</v>
      </c>
      <c r="Q321" s="27" t="n">
        <v>549000</v>
      </c>
      <c r="R321" s="27" t="n">
        <v>181228</v>
      </c>
      <c r="S321" s="27" t="n">
        <v>367801</v>
      </c>
      <c r="T321" s="29" t="n">
        <v>0.807</v>
      </c>
      <c r="U321" s="29" t="n">
        <v>0.357</v>
      </c>
      <c r="V321" s="29" t="n">
        <v>0.812</v>
      </c>
      <c r="W321" s="28" t="n">
        <v>12.9</v>
      </c>
    </row>
    <row r="322" customFormat="false" ht="15" hidden="false" customHeight="false" outlineLevel="0" collapsed="false">
      <c r="A322" s="25" t="s">
        <v>554</v>
      </c>
      <c r="B322" s="25" t="s">
        <v>366</v>
      </c>
      <c r="C322" s="26" t="n">
        <v>46204</v>
      </c>
      <c r="D322" s="27" t="n">
        <v>54679</v>
      </c>
      <c r="E322" s="28" t="n">
        <v>670.7</v>
      </c>
      <c r="F322" s="29" t="n">
        <v>0.051</v>
      </c>
      <c r="G322" s="29" t="n">
        <v>0.1675</v>
      </c>
      <c r="H322" s="30" t="n">
        <v>13.11</v>
      </c>
      <c r="I322" s="29" t="n">
        <v>0.0345</v>
      </c>
      <c r="J322" s="29" t="n">
        <v>0.0304</v>
      </c>
      <c r="K322" s="29" t="n">
        <v>0.0593</v>
      </c>
      <c r="L322" s="27" t="n">
        <v>50</v>
      </c>
      <c r="M322" s="27" t="n">
        <v>21172</v>
      </c>
      <c r="N322" s="30" t="n">
        <v>38.04</v>
      </c>
      <c r="O322" s="30" t="n">
        <v>9.9</v>
      </c>
      <c r="P322" s="29" t="n">
        <v>0.0101</v>
      </c>
      <c r="Q322" s="27" t="n">
        <v>549000</v>
      </c>
      <c r="R322" s="27" t="n">
        <v>182358</v>
      </c>
      <c r="S322" s="27" t="n">
        <v>298602</v>
      </c>
      <c r="T322" s="29" t="n">
        <v>0.81</v>
      </c>
      <c r="U322" s="29" t="n">
        <v>0.358</v>
      </c>
      <c r="V322" s="29" t="n">
        <v>0.831</v>
      </c>
      <c r="W322" s="28" t="n">
        <v>13.1</v>
      </c>
    </row>
    <row r="323" customFormat="false" ht="15" hidden="false" customHeight="false" outlineLevel="0" collapsed="false">
      <c r="A323" s="25" t="s">
        <v>555</v>
      </c>
      <c r="B323" s="25" t="s">
        <v>366</v>
      </c>
      <c r="C323" s="26" t="n">
        <v>46235</v>
      </c>
      <c r="D323" s="27" t="n">
        <v>56592</v>
      </c>
      <c r="E323" s="28" t="n">
        <v>663.5</v>
      </c>
      <c r="F323" s="29" t="n">
        <v>0.0493</v>
      </c>
      <c r="G323" s="29" t="n">
        <v>0.1675</v>
      </c>
      <c r="H323" s="30" t="n">
        <v>13.16</v>
      </c>
      <c r="I323" s="29" t="n">
        <v>0.0331</v>
      </c>
      <c r="J323" s="29" t="n">
        <v>0.0313</v>
      </c>
      <c r="K323" s="29" t="n">
        <v>0.0683</v>
      </c>
      <c r="L323" s="27" t="n">
        <v>51</v>
      </c>
      <c r="M323" s="27" t="n">
        <v>21191</v>
      </c>
      <c r="N323" s="30" t="n">
        <v>38.39</v>
      </c>
      <c r="O323" s="30" t="n">
        <v>10.22</v>
      </c>
      <c r="P323" s="29" t="n">
        <v>0.0096</v>
      </c>
      <c r="Q323" s="27" t="n">
        <v>549000</v>
      </c>
      <c r="R323" s="27" t="n">
        <v>176865</v>
      </c>
      <c r="S323" s="27" t="n">
        <v>348112</v>
      </c>
      <c r="T323" s="29" t="n">
        <v>0.797</v>
      </c>
      <c r="U323" s="29" t="n">
        <v>0.366</v>
      </c>
      <c r="V323" s="29" t="n">
        <v>0.826</v>
      </c>
      <c r="W323" s="28" t="n">
        <v>13.3</v>
      </c>
    </row>
    <row r="324" customFormat="false" ht="15" hidden="false" customHeight="false" outlineLevel="0" collapsed="false">
      <c r="A324" s="25" t="s">
        <v>556</v>
      </c>
      <c r="B324" s="25" t="s">
        <v>366</v>
      </c>
      <c r="C324" s="26" t="n">
        <v>46266</v>
      </c>
      <c r="D324" s="27" t="n">
        <v>54033</v>
      </c>
      <c r="E324" s="28" t="n">
        <v>672</v>
      </c>
      <c r="F324" s="29" t="n">
        <v>0.052</v>
      </c>
      <c r="G324" s="29" t="n">
        <v>0.1636</v>
      </c>
      <c r="H324" s="30" t="n">
        <v>12.91</v>
      </c>
      <c r="I324" s="29" t="n">
        <v>0.0325</v>
      </c>
      <c r="J324" s="29" t="n">
        <v>0.0312</v>
      </c>
      <c r="K324" s="29" t="n">
        <v>0.0639</v>
      </c>
      <c r="L324" s="27" t="n">
        <v>50</v>
      </c>
      <c r="M324" s="27" t="n">
        <v>21210</v>
      </c>
      <c r="N324" s="30" t="n">
        <v>37.91</v>
      </c>
      <c r="O324" s="30" t="n">
        <v>10.32</v>
      </c>
      <c r="P324" s="29" t="n">
        <v>0.0104</v>
      </c>
      <c r="Q324" s="27" t="n">
        <v>549000</v>
      </c>
      <c r="R324" s="27" t="n">
        <v>173626</v>
      </c>
      <c r="S324" s="27" t="n">
        <v>300790</v>
      </c>
      <c r="T324" s="29" t="n">
        <v>0.809</v>
      </c>
      <c r="U324" s="29" t="n">
        <v>0.346</v>
      </c>
      <c r="V324" s="29" t="n">
        <v>0.802</v>
      </c>
      <c r="W324" s="28" t="n">
        <v>13.4</v>
      </c>
    </row>
    <row r="325" customFormat="false" ht="15" hidden="false" customHeight="false" outlineLevel="0" collapsed="false">
      <c r="A325" s="25" t="s">
        <v>557</v>
      </c>
      <c r="B325" s="25" t="s">
        <v>356</v>
      </c>
      <c r="C325" s="26" t="n">
        <v>45931</v>
      </c>
      <c r="D325" s="27" t="n">
        <v>31146</v>
      </c>
      <c r="E325" s="28" t="n">
        <v>603.8</v>
      </c>
      <c r="F325" s="29" t="n">
        <v>0.0548</v>
      </c>
      <c r="G325" s="29" t="n">
        <v>0.1684</v>
      </c>
      <c r="H325" s="30" t="n">
        <v>13.02</v>
      </c>
      <c r="I325" s="29" t="n">
        <v>0.0282</v>
      </c>
      <c r="J325" s="29" t="n">
        <v>0.0189</v>
      </c>
      <c r="K325" s="29" t="n">
        <v>0.0351</v>
      </c>
      <c r="L325" s="27" t="n">
        <v>28</v>
      </c>
      <c r="M325" s="27" t="n">
        <v>21000</v>
      </c>
      <c r="N325" s="30" t="n">
        <v>36.46</v>
      </c>
      <c r="O325" s="30" t="n">
        <v>9.96</v>
      </c>
      <c r="P325" s="29" t="n">
        <v>0.01</v>
      </c>
      <c r="Q325" s="27" t="n">
        <v>364500</v>
      </c>
      <c r="R325" s="27" t="n">
        <v>179905</v>
      </c>
      <c r="S325" s="27" t="n">
        <v>129826</v>
      </c>
      <c r="T325" s="29" t="n">
        <v>0.85</v>
      </c>
      <c r="U325" s="29" t="n">
        <v>0.336</v>
      </c>
      <c r="V325" s="29" t="n">
        <v>0.878</v>
      </c>
      <c r="W325" s="28" t="n">
        <v>11.7</v>
      </c>
    </row>
    <row r="326" customFormat="false" ht="15" hidden="false" customHeight="false" outlineLevel="0" collapsed="false">
      <c r="A326" s="25" t="s">
        <v>558</v>
      </c>
      <c r="B326" s="25" t="s">
        <v>356</v>
      </c>
      <c r="C326" s="26" t="n">
        <v>45962</v>
      </c>
      <c r="D326" s="27" t="n">
        <v>33127</v>
      </c>
      <c r="E326" s="28" t="n">
        <v>626.8</v>
      </c>
      <c r="F326" s="29" t="n">
        <v>0.0522</v>
      </c>
      <c r="G326" s="29" t="n">
        <v>0.1684</v>
      </c>
      <c r="H326" s="30" t="n">
        <v>12.68</v>
      </c>
      <c r="I326" s="29" t="n">
        <v>0.0292</v>
      </c>
      <c r="J326" s="29" t="n">
        <v>0.0196</v>
      </c>
      <c r="K326" s="29" t="n">
        <v>0.0337</v>
      </c>
      <c r="L326" s="27" t="n">
        <v>31</v>
      </c>
      <c r="M326" s="27" t="n">
        <v>21019</v>
      </c>
      <c r="N326" s="30" t="n">
        <v>35.94</v>
      </c>
      <c r="O326" s="30" t="n">
        <v>10.17</v>
      </c>
      <c r="P326" s="29" t="n">
        <v>0.0105</v>
      </c>
      <c r="Q326" s="27" t="n">
        <v>364500</v>
      </c>
      <c r="R326" s="27" t="n">
        <v>176174</v>
      </c>
      <c r="S326" s="27" t="n">
        <v>150558</v>
      </c>
      <c r="T326" s="29" t="n">
        <v>0.831</v>
      </c>
      <c r="U326" s="29" t="n">
        <v>0.332</v>
      </c>
      <c r="V326" s="29" t="n">
        <v>0.873</v>
      </c>
      <c r="W326" s="28" t="n">
        <v>12.3</v>
      </c>
    </row>
    <row r="327" customFormat="false" ht="15" hidden="false" customHeight="false" outlineLevel="0" collapsed="false">
      <c r="A327" s="25" t="s">
        <v>559</v>
      </c>
      <c r="B327" s="25" t="s">
        <v>356</v>
      </c>
      <c r="C327" s="26" t="n">
        <v>45992</v>
      </c>
      <c r="D327" s="27" t="n">
        <v>32288</v>
      </c>
      <c r="E327" s="28" t="n">
        <v>609.6</v>
      </c>
      <c r="F327" s="29" t="n">
        <v>0.05</v>
      </c>
      <c r="G327" s="29" t="n">
        <v>0.1688</v>
      </c>
      <c r="H327" s="30" t="n">
        <v>13.48</v>
      </c>
      <c r="I327" s="29" t="n">
        <v>0.0279</v>
      </c>
      <c r="J327" s="29" t="n">
        <v>0.0195</v>
      </c>
      <c r="K327" s="29" t="n">
        <v>0.0385</v>
      </c>
      <c r="L327" s="27" t="n">
        <v>28</v>
      </c>
      <c r="M327" s="27" t="n">
        <v>21038</v>
      </c>
      <c r="N327" s="30" t="n">
        <v>35.93</v>
      </c>
      <c r="O327" s="30" t="n">
        <v>10.37</v>
      </c>
      <c r="P327" s="29" t="n">
        <v>0.0097</v>
      </c>
      <c r="Q327" s="27" t="n">
        <v>364500</v>
      </c>
      <c r="R327" s="27" t="n">
        <v>174150</v>
      </c>
      <c r="S327" s="27" t="n">
        <v>140463</v>
      </c>
      <c r="T327" s="29" t="n">
        <v>0.812</v>
      </c>
      <c r="U327" s="29" t="n">
        <v>0.332</v>
      </c>
      <c r="V327" s="29" t="n">
        <v>0.866</v>
      </c>
      <c r="W327" s="28" t="n">
        <v>12.2</v>
      </c>
    </row>
    <row r="328" customFormat="false" ht="15" hidden="false" customHeight="false" outlineLevel="0" collapsed="false">
      <c r="A328" s="25" t="s">
        <v>560</v>
      </c>
      <c r="B328" s="25" t="s">
        <v>356</v>
      </c>
      <c r="C328" s="26" t="n">
        <v>46023</v>
      </c>
      <c r="D328" s="27" t="n">
        <v>31220</v>
      </c>
      <c r="E328" s="28" t="n">
        <v>596.8</v>
      </c>
      <c r="F328" s="29" t="n">
        <v>0.0531</v>
      </c>
      <c r="G328" s="29" t="n">
        <v>0.1686</v>
      </c>
      <c r="H328" s="30" t="n">
        <v>12.74</v>
      </c>
      <c r="I328" s="29" t="n">
        <v>0.0264</v>
      </c>
      <c r="J328" s="29" t="n">
        <v>0.0197</v>
      </c>
      <c r="K328" s="29" t="n">
        <v>0.0266</v>
      </c>
      <c r="L328" s="27" t="n">
        <v>27</v>
      </c>
      <c r="M328" s="27" t="n">
        <v>21057</v>
      </c>
      <c r="N328" s="30" t="n">
        <v>35.53</v>
      </c>
      <c r="O328" s="30" t="n">
        <v>10.18</v>
      </c>
      <c r="P328" s="29" t="n">
        <v>0.0099</v>
      </c>
      <c r="Q328" s="27" t="n">
        <v>364500</v>
      </c>
      <c r="R328" s="27" t="n">
        <v>179549</v>
      </c>
      <c r="S328" s="27" t="n">
        <v>118340</v>
      </c>
      <c r="T328" s="29" t="n">
        <v>0.826</v>
      </c>
      <c r="U328" s="29" t="n">
        <v>0.333</v>
      </c>
      <c r="V328" s="29" t="n">
        <v>0.88</v>
      </c>
      <c r="W328" s="28" t="n">
        <v>11.4</v>
      </c>
    </row>
    <row r="329" customFormat="false" ht="15" hidden="false" customHeight="false" outlineLevel="0" collapsed="false">
      <c r="A329" s="25" t="s">
        <v>561</v>
      </c>
      <c r="B329" s="25" t="s">
        <v>356</v>
      </c>
      <c r="C329" s="26" t="n">
        <v>46054</v>
      </c>
      <c r="D329" s="27" t="n">
        <v>28124</v>
      </c>
      <c r="E329" s="28" t="n">
        <v>614</v>
      </c>
      <c r="F329" s="29" t="n">
        <v>0.0518</v>
      </c>
      <c r="G329" s="29" t="n">
        <v>0.1706</v>
      </c>
      <c r="H329" s="30" t="n">
        <v>12.84</v>
      </c>
      <c r="I329" s="29" t="n">
        <v>0.0295</v>
      </c>
      <c r="J329" s="29" t="n">
        <v>0.0188</v>
      </c>
      <c r="K329" s="29" t="n">
        <v>0.0295</v>
      </c>
      <c r="L329" s="27" t="n">
        <v>28</v>
      </c>
      <c r="M329" s="27" t="n">
        <v>21076</v>
      </c>
      <c r="N329" s="30" t="n">
        <v>36.34</v>
      </c>
      <c r="O329" s="30" t="n">
        <v>10.01</v>
      </c>
      <c r="P329" s="29" t="n">
        <v>0.0102</v>
      </c>
      <c r="Q329" s="27" t="n">
        <v>364500</v>
      </c>
      <c r="R329" s="27" t="n">
        <v>187949</v>
      </c>
      <c r="S329" s="27" t="n">
        <v>119396</v>
      </c>
      <c r="T329" s="29" t="n">
        <v>0.826</v>
      </c>
      <c r="U329" s="29" t="n">
        <v>0.339</v>
      </c>
      <c r="V329" s="29" t="n">
        <v>0.875</v>
      </c>
      <c r="W329" s="28" t="n">
        <v>11.8</v>
      </c>
    </row>
    <row r="330" customFormat="false" ht="15" hidden="false" customHeight="false" outlineLevel="0" collapsed="false">
      <c r="A330" s="25" t="s">
        <v>562</v>
      </c>
      <c r="B330" s="25" t="s">
        <v>356</v>
      </c>
      <c r="C330" s="26" t="n">
        <v>46082</v>
      </c>
      <c r="D330" s="27" t="n">
        <v>31902</v>
      </c>
      <c r="E330" s="28" t="n">
        <v>611.8</v>
      </c>
      <c r="F330" s="29" t="n">
        <v>0.054</v>
      </c>
      <c r="G330" s="29" t="n">
        <v>0.1715</v>
      </c>
      <c r="H330" s="30" t="n">
        <v>13.08</v>
      </c>
      <c r="I330" s="29" t="n">
        <v>0.0278</v>
      </c>
      <c r="J330" s="29" t="n">
        <v>0.019</v>
      </c>
      <c r="K330" s="29" t="n">
        <v>0.0288</v>
      </c>
      <c r="L330" s="27" t="n">
        <v>28</v>
      </c>
      <c r="M330" s="27" t="n">
        <v>21095</v>
      </c>
      <c r="N330" s="30" t="n">
        <v>35.64</v>
      </c>
      <c r="O330" s="30" t="n">
        <v>10.53</v>
      </c>
      <c r="P330" s="29" t="n">
        <v>0.0105</v>
      </c>
      <c r="Q330" s="27" t="n">
        <v>364500</v>
      </c>
      <c r="R330" s="27" t="n">
        <v>172528</v>
      </c>
      <c r="S330" s="27" t="n">
        <v>138714</v>
      </c>
      <c r="T330" s="29" t="n">
        <v>0.825</v>
      </c>
      <c r="U330" s="29" t="n">
        <v>0.335</v>
      </c>
      <c r="V330" s="29" t="n">
        <v>0.893</v>
      </c>
      <c r="W330" s="28" t="n">
        <v>10.9</v>
      </c>
    </row>
    <row r="331" customFormat="false" ht="15" hidden="false" customHeight="false" outlineLevel="0" collapsed="false">
      <c r="A331" s="25" t="s">
        <v>563</v>
      </c>
      <c r="B331" s="25" t="s">
        <v>356</v>
      </c>
      <c r="C331" s="26" t="n">
        <v>46113</v>
      </c>
      <c r="D331" s="27" t="n">
        <v>32679</v>
      </c>
      <c r="E331" s="28" t="n">
        <v>611.9</v>
      </c>
      <c r="F331" s="29" t="n">
        <v>0.0514</v>
      </c>
      <c r="G331" s="29" t="n">
        <v>0.1686</v>
      </c>
      <c r="H331" s="30" t="n">
        <v>13.85</v>
      </c>
      <c r="I331" s="29" t="n">
        <v>0.0285</v>
      </c>
      <c r="J331" s="29" t="n">
        <v>0.0196</v>
      </c>
      <c r="K331" s="29" t="n">
        <v>0.0306</v>
      </c>
      <c r="L331" s="27" t="n">
        <v>30</v>
      </c>
      <c r="M331" s="27" t="n">
        <v>21115</v>
      </c>
      <c r="N331" s="30" t="n">
        <v>36.63</v>
      </c>
      <c r="O331" s="30" t="n">
        <v>9.92</v>
      </c>
      <c r="P331" s="29" t="n">
        <v>0.0103</v>
      </c>
      <c r="Q331" s="27" t="n">
        <v>364500</v>
      </c>
      <c r="R331" s="27" t="n">
        <v>181468</v>
      </c>
      <c r="S331" s="27" t="n">
        <v>122516</v>
      </c>
      <c r="T331" s="29" t="n">
        <v>0.846</v>
      </c>
      <c r="U331" s="29" t="n">
        <v>0.317</v>
      </c>
      <c r="V331" s="29" t="n">
        <v>0.877</v>
      </c>
      <c r="W331" s="28" t="n">
        <v>12</v>
      </c>
    </row>
    <row r="332" customFormat="false" ht="15" hidden="false" customHeight="false" outlineLevel="0" collapsed="false">
      <c r="A332" s="25" t="s">
        <v>564</v>
      </c>
      <c r="B332" s="25" t="s">
        <v>356</v>
      </c>
      <c r="C332" s="26" t="n">
        <v>46143</v>
      </c>
      <c r="D332" s="27" t="n">
        <v>34373</v>
      </c>
      <c r="E332" s="28" t="n">
        <v>630.2</v>
      </c>
      <c r="F332" s="29" t="n">
        <v>0.0536</v>
      </c>
      <c r="G332" s="29" t="n">
        <v>0.1684</v>
      </c>
      <c r="H332" s="30" t="n">
        <v>12.8</v>
      </c>
      <c r="I332" s="29" t="n">
        <v>0.0295</v>
      </c>
      <c r="J332" s="29" t="n">
        <v>0.0194</v>
      </c>
      <c r="K332" s="29" t="n">
        <v>0.0246</v>
      </c>
      <c r="L332" s="27" t="n">
        <v>31</v>
      </c>
      <c r="M332" s="27" t="n">
        <v>21134</v>
      </c>
      <c r="N332" s="30" t="n">
        <v>35.79</v>
      </c>
      <c r="O332" s="30" t="n">
        <v>10.19</v>
      </c>
      <c r="P332" s="29" t="n">
        <v>0.0101</v>
      </c>
      <c r="Q332" s="27" t="n">
        <v>364500</v>
      </c>
      <c r="R332" s="27" t="n">
        <v>183166</v>
      </c>
      <c r="S332" s="27" t="n">
        <v>143867</v>
      </c>
      <c r="T332" s="29" t="n">
        <v>0.837</v>
      </c>
      <c r="U332" s="29" t="n">
        <v>0.332</v>
      </c>
      <c r="V332" s="29" t="n">
        <v>0.892</v>
      </c>
      <c r="W332" s="28" t="n">
        <v>11.2</v>
      </c>
    </row>
    <row r="333" customFormat="false" ht="15" hidden="false" customHeight="false" outlineLevel="0" collapsed="false">
      <c r="A333" s="25" t="s">
        <v>565</v>
      </c>
      <c r="B333" s="25" t="s">
        <v>356</v>
      </c>
      <c r="C333" s="26" t="n">
        <v>46174</v>
      </c>
      <c r="D333" s="27" t="n">
        <v>33730</v>
      </c>
      <c r="E333" s="28" t="n">
        <v>604.9</v>
      </c>
      <c r="F333" s="29" t="n">
        <v>0.0515</v>
      </c>
      <c r="G333" s="29" t="n">
        <v>0.1661</v>
      </c>
      <c r="H333" s="30" t="n">
        <v>13.78</v>
      </c>
      <c r="I333" s="29" t="n">
        <v>0.0283</v>
      </c>
      <c r="J333" s="29" t="n">
        <v>0.0197</v>
      </c>
      <c r="K333" s="29" t="n">
        <v>0.0272</v>
      </c>
      <c r="L333" s="27" t="n">
        <v>28</v>
      </c>
      <c r="M333" s="27" t="n">
        <v>21153</v>
      </c>
      <c r="N333" s="30" t="n">
        <v>36.2</v>
      </c>
      <c r="O333" s="30" t="n">
        <v>10.11</v>
      </c>
      <c r="P333" s="29" t="n">
        <v>0.0096</v>
      </c>
      <c r="Q333" s="27" t="n">
        <v>364500</v>
      </c>
      <c r="R333" s="27" t="n">
        <v>179675</v>
      </c>
      <c r="S333" s="27" t="n">
        <v>145985</v>
      </c>
      <c r="T333" s="29" t="n">
        <v>0.809</v>
      </c>
      <c r="U333" s="29" t="n">
        <v>0.333</v>
      </c>
      <c r="V333" s="29" t="n">
        <v>0.88</v>
      </c>
      <c r="W333" s="28" t="n">
        <v>11.2</v>
      </c>
    </row>
    <row r="334" customFormat="false" ht="15" hidden="false" customHeight="false" outlineLevel="0" collapsed="false">
      <c r="A334" s="25" t="s">
        <v>566</v>
      </c>
      <c r="B334" s="25" t="s">
        <v>356</v>
      </c>
      <c r="C334" s="26" t="n">
        <v>46204</v>
      </c>
      <c r="D334" s="27" t="n">
        <v>30219</v>
      </c>
      <c r="E334" s="28" t="n">
        <v>606.4</v>
      </c>
      <c r="F334" s="29" t="n">
        <v>0.0525</v>
      </c>
      <c r="G334" s="29" t="n">
        <v>0.1684</v>
      </c>
      <c r="H334" s="30" t="n">
        <v>13.42</v>
      </c>
      <c r="I334" s="29" t="n">
        <v>0.0299</v>
      </c>
      <c r="J334" s="29" t="n">
        <v>0.0196</v>
      </c>
      <c r="K334" s="29" t="n">
        <v>0.0392</v>
      </c>
      <c r="L334" s="27" t="n">
        <v>26</v>
      </c>
      <c r="M334" s="27" t="n">
        <v>21172</v>
      </c>
      <c r="N334" s="30" t="n">
        <v>35.56</v>
      </c>
      <c r="O334" s="30" t="n">
        <v>10.19</v>
      </c>
      <c r="P334" s="29" t="n">
        <v>0.01</v>
      </c>
      <c r="Q334" s="27" t="n">
        <v>364500</v>
      </c>
      <c r="R334" s="27" t="n">
        <v>176838</v>
      </c>
      <c r="S334" s="27" t="n">
        <v>129065</v>
      </c>
      <c r="T334" s="29" t="n">
        <v>0.827</v>
      </c>
      <c r="U334" s="29" t="n">
        <v>0.328</v>
      </c>
      <c r="V334" s="29" t="n">
        <v>0.869</v>
      </c>
      <c r="W334" s="28" t="n">
        <v>11.6</v>
      </c>
    </row>
    <row r="335" customFormat="false" ht="15" hidden="false" customHeight="false" outlineLevel="0" collapsed="false">
      <c r="A335" s="25" t="s">
        <v>567</v>
      </c>
      <c r="B335" s="25" t="s">
        <v>356</v>
      </c>
      <c r="C335" s="26" t="n">
        <v>46235</v>
      </c>
      <c r="D335" s="27" t="n">
        <v>36181</v>
      </c>
      <c r="E335" s="28" t="n">
        <v>614</v>
      </c>
      <c r="F335" s="29" t="n">
        <v>0.0528</v>
      </c>
      <c r="G335" s="29" t="n">
        <v>0.1678</v>
      </c>
      <c r="H335" s="30" t="n">
        <v>13.12</v>
      </c>
      <c r="I335" s="29" t="n">
        <v>0.0267</v>
      </c>
      <c r="J335" s="29" t="n">
        <v>0.0191</v>
      </c>
      <c r="K335" s="29" t="n">
        <v>0.0308</v>
      </c>
      <c r="L335" s="27" t="n">
        <v>32</v>
      </c>
      <c r="M335" s="27" t="n">
        <v>21191</v>
      </c>
      <c r="N335" s="30" t="n">
        <v>36.13</v>
      </c>
      <c r="O335" s="30" t="n">
        <v>10.5</v>
      </c>
      <c r="P335" s="29" t="n">
        <v>0.0101</v>
      </c>
      <c r="Q335" s="27" t="n">
        <v>364500</v>
      </c>
      <c r="R335" s="27" t="n">
        <v>178594</v>
      </c>
      <c r="S335" s="27" t="n">
        <v>147603</v>
      </c>
      <c r="T335" s="29" t="n">
        <v>0.794</v>
      </c>
      <c r="U335" s="29" t="n">
        <v>0.344</v>
      </c>
      <c r="V335" s="29" t="n">
        <v>0.887</v>
      </c>
      <c r="W335" s="28" t="n">
        <v>11.7</v>
      </c>
    </row>
    <row r="336" customFormat="false" ht="15" hidden="false" customHeight="false" outlineLevel="0" collapsed="false">
      <c r="A336" s="25" t="s">
        <v>568</v>
      </c>
      <c r="B336" s="25" t="s">
        <v>356</v>
      </c>
      <c r="C336" s="26" t="n">
        <v>46266</v>
      </c>
      <c r="D336" s="27" t="n">
        <v>30940</v>
      </c>
      <c r="E336" s="28" t="n">
        <v>612.2</v>
      </c>
      <c r="F336" s="29" t="n">
        <v>0.053</v>
      </c>
      <c r="G336" s="29" t="n">
        <v>0.1699</v>
      </c>
      <c r="H336" s="30" t="n">
        <v>13.05</v>
      </c>
      <c r="I336" s="29" t="n">
        <v>0.0287</v>
      </c>
      <c r="J336" s="29" t="n">
        <v>0.019</v>
      </c>
      <c r="K336" s="29" t="n">
        <v>0.0289</v>
      </c>
      <c r="L336" s="27" t="n">
        <v>28</v>
      </c>
      <c r="M336" s="27" t="n">
        <v>21210</v>
      </c>
      <c r="N336" s="30" t="n">
        <v>35.87</v>
      </c>
      <c r="O336" s="30" t="n">
        <v>10.33</v>
      </c>
      <c r="P336" s="29" t="n">
        <v>0.0101</v>
      </c>
      <c r="Q336" s="27" t="n">
        <v>364500</v>
      </c>
      <c r="R336" s="27" t="n">
        <v>177597</v>
      </c>
      <c r="S336" s="27" t="n">
        <v>125449</v>
      </c>
      <c r="T336" s="29" t="n">
        <v>0.817</v>
      </c>
      <c r="U336" s="29" t="n">
        <v>0.353</v>
      </c>
      <c r="V336" s="29" t="n">
        <v>0.864</v>
      </c>
      <c r="W336" s="28" t="n">
        <v>11.8</v>
      </c>
    </row>
    <row r="337" customFormat="false" ht="15" hidden="false" customHeight="false" outlineLevel="0" collapsed="false">
      <c r="A337" s="25" t="s">
        <v>569</v>
      </c>
      <c r="B337" s="25" t="s">
        <v>362</v>
      </c>
      <c r="C337" s="26" t="n">
        <v>45931</v>
      </c>
      <c r="D337" s="27" t="n">
        <v>43222</v>
      </c>
      <c r="E337" s="28" t="n">
        <v>632.7</v>
      </c>
      <c r="F337" s="29" t="n">
        <v>0.0475</v>
      </c>
      <c r="G337" s="29" t="n">
        <v>0.1708</v>
      </c>
      <c r="H337" s="30" t="n">
        <v>11.03</v>
      </c>
      <c r="I337" s="29" t="n">
        <v>0.0319</v>
      </c>
      <c r="J337" s="29" t="n">
        <v>0.0195</v>
      </c>
      <c r="K337" s="29" t="n">
        <v>0.0367</v>
      </c>
      <c r="L337" s="27" t="n">
        <v>40</v>
      </c>
      <c r="M337" s="27" t="n">
        <v>21000</v>
      </c>
      <c r="N337" s="30" t="n">
        <v>36.19</v>
      </c>
      <c r="O337" s="30" t="n">
        <v>10.36</v>
      </c>
      <c r="P337" s="29" t="n">
        <v>0.0105</v>
      </c>
      <c r="Q337" s="27" t="n">
        <v>476000</v>
      </c>
      <c r="R337" s="27" t="n">
        <v>156391</v>
      </c>
      <c r="S337" s="27" t="n">
        <v>194554</v>
      </c>
      <c r="T337" s="29" t="n">
        <v>0.8</v>
      </c>
      <c r="U337" s="29" t="n">
        <v>0.242</v>
      </c>
      <c r="V337" s="29" t="n">
        <v>0.86</v>
      </c>
      <c r="W337" s="28" t="n">
        <v>12.2</v>
      </c>
    </row>
    <row r="338" customFormat="false" ht="15" hidden="false" customHeight="false" outlineLevel="0" collapsed="false">
      <c r="A338" s="25" t="s">
        <v>570</v>
      </c>
      <c r="B338" s="25" t="s">
        <v>362</v>
      </c>
      <c r="C338" s="26" t="n">
        <v>45962</v>
      </c>
      <c r="D338" s="27" t="n">
        <v>45408</v>
      </c>
      <c r="E338" s="28" t="n">
        <v>658.3</v>
      </c>
      <c r="F338" s="29" t="n">
        <v>0.0516</v>
      </c>
      <c r="G338" s="29" t="n">
        <v>0.1662</v>
      </c>
      <c r="H338" s="30" t="n">
        <v>12.69</v>
      </c>
      <c r="I338" s="29" t="n">
        <v>0.0329</v>
      </c>
      <c r="J338" s="29" t="n">
        <v>0.0205</v>
      </c>
      <c r="K338" s="29" t="n">
        <v>0.0272</v>
      </c>
      <c r="L338" s="27" t="n">
        <v>41</v>
      </c>
      <c r="M338" s="27" t="n">
        <v>21019</v>
      </c>
      <c r="N338" s="30" t="n">
        <v>36.14</v>
      </c>
      <c r="O338" s="30" t="n">
        <v>10.38</v>
      </c>
      <c r="P338" s="29" t="n">
        <v>0.0098</v>
      </c>
      <c r="Q338" s="27" t="n">
        <v>476000</v>
      </c>
      <c r="R338" s="27" t="n">
        <v>145821</v>
      </c>
      <c r="S338" s="27" t="n">
        <v>209954</v>
      </c>
      <c r="T338" s="29" t="n">
        <v>0.819</v>
      </c>
      <c r="U338" s="29" t="n">
        <v>0.233</v>
      </c>
      <c r="V338" s="29" t="n">
        <v>0.883</v>
      </c>
      <c r="W338" s="28" t="n">
        <v>12.1</v>
      </c>
    </row>
    <row r="339" customFormat="false" ht="15" hidden="false" customHeight="false" outlineLevel="0" collapsed="false">
      <c r="A339" s="25" t="s">
        <v>571</v>
      </c>
      <c r="B339" s="25" t="s">
        <v>362</v>
      </c>
      <c r="C339" s="26" t="n">
        <v>45992</v>
      </c>
      <c r="D339" s="27" t="n">
        <v>43185</v>
      </c>
      <c r="E339" s="28" t="n">
        <v>668.2</v>
      </c>
      <c r="F339" s="29" t="n">
        <v>0.0527</v>
      </c>
      <c r="G339" s="29" t="n">
        <v>0.1691</v>
      </c>
      <c r="H339" s="30" t="n">
        <v>11.75</v>
      </c>
      <c r="I339" s="29" t="n">
        <v>0.0327</v>
      </c>
      <c r="J339" s="29" t="n">
        <v>0.0204</v>
      </c>
      <c r="K339" s="29" t="n">
        <v>0.0312</v>
      </c>
      <c r="L339" s="27" t="n">
        <v>36</v>
      </c>
      <c r="M339" s="27" t="n">
        <v>21038</v>
      </c>
      <c r="N339" s="30" t="n">
        <v>36.14</v>
      </c>
      <c r="O339" s="30" t="n">
        <v>10.19</v>
      </c>
      <c r="P339" s="29" t="n">
        <v>0.0101</v>
      </c>
      <c r="Q339" s="27" t="n">
        <v>476000</v>
      </c>
      <c r="R339" s="27" t="n">
        <v>140812</v>
      </c>
      <c r="S339" s="27" t="n">
        <v>202067</v>
      </c>
      <c r="T339" s="29" t="n">
        <v>0.789</v>
      </c>
      <c r="U339" s="29" t="n">
        <v>0.239</v>
      </c>
      <c r="V339" s="29" t="n">
        <v>0.862</v>
      </c>
      <c r="W339" s="28" t="n">
        <v>12.3</v>
      </c>
    </row>
    <row r="340" customFormat="false" ht="15" hidden="false" customHeight="false" outlineLevel="0" collapsed="false">
      <c r="A340" s="25" t="s">
        <v>572</v>
      </c>
      <c r="B340" s="25" t="s">
        <v>362</v>
      </c>
      <c r="C340" s="26" t="n">
        <v>46023</v>
      </c>
      <c r="D340" s="27" t="n">
        <v>41403</v>
      </c>
      <c r="E340" s="28" t="n">
        <v>643.2</v>
      </c>
      <c r="F340" s="29" t="n">
        <v>0.0514</v>
      </c>
      <c r="G340" s="29" t="n">
        <v>0.1648</v>
      </c>
      <c r="H340" s="30" t="n">
        <v>12.06</v>
      </c>
      <c r="I340" s="29" t="n">
        <v>0.0341</v>
      </c>
      <c r="J340" s="29" t="n">
        <v>0.0197</v>
      </c>
      <c r="K340" s="29" t="n">
        <v>0.0346</v>
      </c>
      <c r="L340" s="27" t="n">
        <v>36</v>
      </c>
      <c r="M340" s="27" t="n">
        <v>21057</v>
      </c>
      <c r="N340" s="30" t="n">
        <v>36.78</v>
      </c>
      <c r="O340" s="30" t="n">
        <v>10.35</v>
      </c>
      <c r="P340" s="29" t="n">
        <v>0.0102</v>
      </c>
      <c r="Q340" s="27" t="n">
        <v>476000</v>
      </c>
      <c r="R340" s="27" t="n">
        <v>144588</v>
      </c>
      <c r="S340" s="27" t="n">
        <v>195651</v>
      </c>
      <c r="T340" s="29" t="n">
        <v>0.831</v>
      </c>
      <c r="U340" s="29" t="n">
        <v>0.241</v>
      </c>
      <c r="V340" s="29" t="n">
        <v>0.86</v>
      </c>
      <c r="W340" s="28" t="n">
        <v>12.4</v>
      </c>
    </row>
    <row r="341" customFormat="false" ht="15" hidden="false" customHeight="false" outlineLevel="0" collapsed="false">
      <c r="A341" s="25" t="s">
        <v>573</v>
      </c>
      <c r="B341" s="25" t="s">
        <v>362</v>
      </c>
      <c r="C341" s="26" t="n">
        <v>46054</v>
      </c>
      <c r="D341" s="27" t="n">
        <v>34765</v>
      </c>
      <c r="E341" s="28" t="n">
        <v>646</v>
      </c>
      <c r="F341" s="29" t="n">
        <v>0.0541</v>
      </c>
      <c r="G341" s="29" t="n">
        <v>0.1623</v>
      </c>
      <c r="H341" s="30" t="n">
        <v>11.7</v>
      </c>
      <c r="I341" s="29" t="n">
        <v>0.0308</v>
      </c>
      <c r="J341" s="29" t="n">
        <v>0.0205</v>
      </c>
      <c r="K341" s="29" t="n">
        <v>0.0391</v>
      </c>
      <c r="L341" s="27" t="n">
        <v>33</v>
      </c>
      <c r="M341" s="27" t="n">
        <v>21076</v>
      </c>
      <c r="N341" s="30" t="n">
        <v>35.91</v>
      </c>
      <c r="O341" s="30" t="n">
        <v>10.29</v>
      </c>
      <c r="P341" s="29" t="n">
        <v>0.0103</v>
      </c>
      <c r="Q341" s="27" t="n">
        <v>476000</v>
      </c>
      <c r="R341" s="27" t="n">
        <v>156892</v>
      </c>
      <c r="S341" s="27" t="n">
        <v>168674</v>
      </c>
      <c r="T341" s="29" t="n">
        <v>0.832</v>
      </c>
      <c r="U341" s="29" t="n">
        <v>0.253</v>
      </c>
      <c r="V341" s="29" t="n">
        <v>0.872</v>
      </c>
      <c r="W341" s="28" t="n">
        <v>12.1</v>
      </c>
    </row>
    <row r="342" customFormat="false" ht="15" hidden="false" customHeight="false" outlineLevel="0" collapsed="false">
      <c r="A342" s="25" t="s">
        <v>574</v>
      </c>
      <c r="B342" s="25" t="s">
        <v>362</v>
      </c>
      <c r="C342" s="26" t="n">
        <v>46082</v>
      </c>
      <c r="D342" s="27" t="n">
        <v>44964</v>
      </c>
      <c r="E342" s="28" t="n">
        <v>656.1</v>
      </c>
      <c r="F342" s="29" t="n">
        <v>0.0546</v>
      </c>
      <c r="G342" s="29" t="n">
        <v>0.1674</v>
      </c>
      <c r="H342" s="30" t="n">
        <v>11.29</v>
      </c>
      <c r="I342" s="29" t="n">
        <v>0.0348</v>
      </c>
      <c r="J342" s="29" t="n">
        <v>0.0207</v>
      </c>
      <c r="K342" s="29" t="n">
        <v>0.0267</v>
      </c>
      <c r="L342" s="27" t="n">
        <v>38</v>
      </c>
      <c r="M342" s="27" t="n">
        <v>21095</v>
      </c>
      <c r="N342" s="30" t="n">
        <v>36.73</v>
      </c>
      <c r="O342" s="30" t="n">
        <v>10.37</v>
      </c>
      <c r="P342" s="29" t="n">
        <v>0.0097</v>
      </c>
      <c r="Q342" s="27" t="n">
        <v>476000</v>
      </c>
      <c r="R342" s="27" t="n">
        <v>147712</v>
      </c>
      <c r="S342" s="27" t="n">
        <v>213259</v>
      </c>
      <c r="T342" s="29" t="n">
        <v>0.824</v>
      </c>
      <c r="U342" s="29" t="n">
        <v>0.253</v>
      </c>
      <c r="V342" s="29" t="n">
        <v>0.899</v>
      </c>
      <c r="W342" s="28" t="n">
        <v>11.5</v>
      </c>
    </row>
    <row r="343" customFormat="false" ht="15" hidden="false" customHeight="false" outlineLevel="0" collapsed="false">
      <c r="A343" s="25" t="s">
        <v>575</v>
      </c>
      <c r="B343" s="25" t="s">
        <v>362</v>
      </c>
      <c r="C343" s="26" t="n">
        <v>46113</v>
      </c>
      <c r="D343" s="27" t="n">
        <v>41380</v>
      </c>
      <c r="E343" s="28" t="n">
        <v>665</v>
      </c>
      <c r="F343" s="29" t="n">
        <v>0.0519</v>
      </c>
      <c r="G343" s="29" t="n">
        <v>0.1684</v>
      </c>
      <c r="H343" s="30" t="n">
        <v>12.1</v>
      </c>
      <c r="I343" s="29" t="n">
        <v>0.0313</v>
      </c>
      <c r="J343" s="29" t="n">
        <v>0.0193</v>
      </c>
      <c r="K343" s="29" t="n">
        <v>0.0386</v>
      </c>
      <c r="L343" s="27" t="n">
        <v>37</v>
      </c>
      <c r="M343" s="27" t="n">
        <v>21115</v>
      </c>
      <c r="N343" s="30" t="n">
        <v>36.59</v>
      </c>
      <c r="O343" s="30" t="n">
        <v>10.67</v>
      </c>
      <c r="P343" s="29" t="n">
        <v>0.0098</v>
      </c>
      <c r="Q343" s="27" t="n">
        <v>476000</v>
      </c>
      <c r="R343" s="27" t="n">
        <v>156719</v>
      </c>
      <c r="S343" s="27" t="n">
        <v>197413</v>
      </c>
      <c r="T343" s="29" t="n">
        <v>0.816</v>
      </c>
      <c r="U343" s="29" t="n">
        <v>0.248</v>
      </c>
      <c r="V343" s="29" t="n">
        <v>0.853</v>
      </c>
      <c r="W343" s="28" t="n">
        <v>12.1</v>
      </c>
    </row>
    <row r="344" customFormat="false" ht="15" hidden="false" customHeight="false" outlineLevel="0" collapsed="false">
      <c r="A344" s="25" t="s">
        <v>576</v>
      </c>
      <c r="B344" s="25" t="s">
        <v>362</v>
      </c>
      <c r="C344" s="26" t="n">
        <v>46143</v>
      </c>
      <c r="D344" s="27" t="n">
        <v>48441</v>
      </c>
      <c r="E344" s="28" t="n">
        <v>660.3</v>
      </c>
      <c r="F344" s="29" t="n">
        <v>0.0526</v>
      </c>
      <c r="G344" s="29" t="n">
        <v>0.1699</v>
      </c>
      <c r="H344" s="30" t="n">
        <v>11.69</v>
      </c>
      <c r="I344" s="29" t="n">
        <v>0.0315</v>
      </c>
      <c r="J344" s="29" t="n">
        <v>0.0213</v>
      </c>
      <c r="K344" s="29" t="n">
        <v>0.0358</v>
      </c>
      <c r="L344" s="27" t="n">
        <v>42</v>
      </c>
      <c r="M344" s="27" t="n">
        <v>21134</v>
      </c>
      <c r="N344" s="30" t="n">
        <v>35.51</v>
      </c>
      <c r="O344" s="30" t="n">
        <v>10.33</v>
      </c>
      <c r="P344" s="29" t="n">
        <v>0.0101</v>
      </c>
      <c r="Q344" s="27" t="n">
        <v>476000</v>
      </c>
      <c r="R344" s="27" t="n">
        <v>156860</v>
      </c>
      <c r="S344" s="27" t="n">
        <v>229763</v>
      </c>
      <c r="T344" s="29" t="n">
        <v>0.818</v>
      </c>
      <c r="U344" s="29" t="n">
        <v>0.245</v>
      </c>
      <c r="V344" s="29" t="n">
        <v>0.855</v>
      </c>
      <c r="W344" s="28" t="n">
        <v>12</v>
      </c>
    </row>
    <row r="345" customFormat="false" ht="15" hidden="false" customHeight="false" outlineLevel="0" collapsed="false">
      <c r="A345" s="25" t="s">
        <v>577</v>
      </c>
      <c r="B345" s="25" t="s">
        <v>362</v>
      </c>
      <c r="C345" s="26" t="n">
        <v>46174</v>
      </c>
      <c r="D345" s="27" t="n">
        <v>45495</v>
      </c>
      <c r="E345" s="28" t="n">
        <v>659</v>
      </c>
      <c r="F345" s="29" t="n">
        <v>0.0516</v>
      </c>
      <c r="G345" s="29" t="n">
        <v>0.1663</v>
      </c>
      <c r="H345" s="30" t="n">
        <v>11.9</v>
      </c>
      <c r="I345" s="29" t="n">
        <v>0.0322</v>
      </c>
      <c r="J345" s="29" t="n">
        <v>0.0206</v>
      </c>
      <c r="K345" s="29" t="n">
        <v>0.0318</v>
      </c>
      <c r="L345" s="27" t="n">
        <v>40</v>
      </c>
      <c r="M345" s="27" t="n">
        <v>21153</v>
      </c>
      <c r="N345" s="30" t="n">
        <v>35.38</v>
      </c>
      <c r="O345" s="30" t="n">
        <v>10.26</v>
      </c>
      <c r="P345" s="29" t="n">
        <v>0.0102</v>
      </c>
      <c r="Q345" s="27" t="n">
        <v>476000</v>
      </c>
      <c r="R345" s="27" t="n">
        <v>147692</v>
      </c>
      <c r="S345" s="27" t="n">
        <v>195367</v>
      </c>
      <c r="T345" s="29" t="n">
        <v>0.834</v>
      </c>
      <c r="U345" s="29" t="n">
        <v>0.258</v>
      </c>
      <c r="V345" s="29" t="n">
        <v>0.878</v>
      </c>
      <c r="W345" s="28" t="n">
        <v>12.6</v>
      </c>
    </row>
    <row r="346" customFormat="false" ht="15" hidden="false" customHeight="false" outlineLevel="0" collapsed="false">
      <c r="A346" s="25" t="s">
        <v>578</v>
      </c>
      <c r="B346" s="25" t="s">
        <v>362</v>
      </c>
      <c r="C346" s="26" t="n">
        <v>46204</v>
      </c>
      <c r="D346" s="27" t="n">
        <v>41931</v>
      </c>
      <c r="E346" s="28" t="n">
        <v>658.8</v>
      </c>
      <c r="F346" s="29" t="n">
        <v>0.0526</v>
      </c>
      <c r="G346" s="29" t="n">
        <v>0.1683</v>
      </c>
      <c r="H346" s="30" t="n">
        <v>12</v>
      </c>
      <c r="I346" s="29" t="n">
        <v>0.0337</v>
      </c>
      <c r="J346" s="29" t="n">
        <v>0.0196</v>
      </c>
      <c r="K346" s="29" t="n">
        <v>0.0318</v>
      </c>
      <c r="L346" s="27" t="n">
        <v>37</v>
      </c>
      <c r="M346" s="27" t="n">
        <v>21172</v>
      </c>
      <c r="N346" s="30" t="n">
        <v>35.95</v>
      </c>
      <c r="O346" s="30" t="n">
        <v>10.3</v>
      </c>
      <c r="P346" s="29" t="n">
        <v>0.0104</v>
      </c>
      <c r="Q346" s="27" t="n">
        <v>476000</v>
      </c>
      <c r="R346" s="27" t="n">
        <v>142566</v>
      </c>
      <c r="S346" s="27" t="n">
        <v>216518</v>
      </c>
      <c r="T346" s="29" t="n">
        <v>0.823</v>
      </c>
      <c r="U346" s="29" t="n">
        <v>0.259</v>
      </c>
      <c r="V346" s="29" t="n">
        <v>0.869</v>
      </c>
      <c r="W346" s="28" t="n">
        <v>12.1</v>
      </c>
    </row>
    <row r="347" customFormat="false" ht="15" hidden="false" customHeight="false" outlineLevel="0" collapsed="false">
      <c r="A347" s="25" t="s">
        <v>579</v>
      </c>
      <c r="B347" s="25" t="s">
        <v>362</v>
      </c>
      <c r="C347" s="26" t="n">
        <v>46235</v>
      </c>
      <c r="D347" s="27" t="n">
        <v>46280</v>
      </c>
      <c r="E347" s="28" t="n">
        <v>669.9</v>
      </c>
      <c r="F347" s="29" t="n">
        <v>0.0522</v>
      </c>
      <c r="G347" s="29" t="n">
        <v>0.167</v>
      </c>
      <c r="H347" s="30" t="n">
        <v>12.24</v>
      </c>
      <c r="I347" s="29" t="n">
        <v>0.0333</v>
      </c>
      <c r="J347" s="29" t="n">
        <v>0.0206</v>
      </c>
      <c r="K347" s="29" t="n">
        <v>0.0287</v>
      </c>
      <c r="L347" s="27" t="n">
        <v>40</v>
      </c>
      <c r="M347" s="27" t="n">
        <v>21191</v>
      </c>
      <c r="N347" s="30" t="n">
        <v>36.45</v>
      </c>
      <c r="O347" s="30" t="n">
        <v>10.11</v>
      </c>
      <c r="P347" s="29" t="n">
        <v>0.0095</v>
      </c>
      <c r="Q347" s="27" t="n">
        <v>476000</v>
      </c>
      <c r="R347" s="27" t="n">
        <v>148004</v>
      </c>
      <c r="S347" s="27" t="n">
        <v>210551</v>
      </c>
      <c r="T347" s="29" t="n">
        <v>0.821</v>
      </c>
      <c r="U347" s="29" t="n">
        <v>0.239</v>
      </c>
      <c r="V347" s="29" t="n">
        <v>0.884</v>
      </c>
      <c r="W347" s="28" t="n">
        <v>12.2</v>
      </c>
    </row>
    <row r="348" customFormat="false" ht="15" hidden="false" customHeight="false" outlineLevel="0" collapsed="false">
      <c r="A348" s="25" t="s">
        <v>580</v>
      </c>
      <c r="B348" s="25" t="s">
        <v>362</v>
      </c>
      <c r="C348" s="26" t="n">
        <v>46266</v>
      </c>
      <c r="D348" s="27" t="n">
        <v>42330</v>
      </c>
      <c r="E348" s="28" t="n">
        <v>655</v>
      </c>
      <c r="F348" s="29" t="n">
        <v>0.055</v>
      </c>
      <c r="G348" s="29" t="n">
        <v>0.167</v>
      </c>
      <c r="H348" s="30" t="n">
        <v>11.51</v>
      </c>
      <c r="I348" s="29" t="n">
        <v>0.0334</v>
      </c>
      <c r="J348" s="29" t="n">
        <v>0.0208</v>
      </c>
      <c r="K348" s="29" t="n">
        <v>0.0313</v>
      </c>
      <c r="L348" s="27" t="n">
        <v>38</v>
      </c>
      <c r="M348" s="27" t="n">
        <v>21210</v>
      </c>
      <c r="N348" s="30" t="n">
        <v>36.29</v>
      </c>
      <c r="O348" s="30" t="n">
        <v>10.69</v>
      </c>
      <c r="P348" s="29" t="n">
        <v>0.0096</v>
      </c>
      <c r="Q348" s="27" t="n">
        <v>476000</v>
      </c>
      <c r="R348" s="27" t="n">
        <v>147727</v>
      </c>
      <c r="S348" s="27" t="n">
        <v>222052</v>
      </c>
      <c r="T348" s="29" t="n">
        <v>0.839</v>
      </c>
      <c r="U348" s="29" t="n">
        <v>0.233</v>
      </c>
      <c r="V348" s="29" t="n">
        <v>0.88</v>
      </c>
      <c r="W348" s="28" t="n">
        <v>11.9</v>
      </c>
    </row>
    <row r="349" customFormat="false" ht="15" hidden="false" customHeight="false" outlineLevel="0" collapsed="false">
      <c r="A349" s="25" t="s">
        <v>581</v>
      </c>
      <c r="B349" s="25" t="s">
        <v>360</v>
      </c>
      <c r="C349" s="26" t="n">
        <v>45931</v>
      </c>
      <c r="D349" s="27" t="n">
        <v>14584</v>
      </c>
      <c r="E349" s="28" t="n">
        <v>597.3</v>
      </c>
      <c r="F349" s="29" t="n">
        <v>0.067</v>
      </c>
      <c r="G349" s="29" t="n">
        <v>0.1743</v>
      </c>
      <c r="H349" s="30" t="n">
        <v>13.39</v>
      </c>
      <c r="I349" s="29" t="n">
        <v>0.0215</v>
      </c>
      <c r="J349" s="29" t="n">
        <v>0.0233</v>
      </c>
      <c r="K349" s="29" t="n">
        <v>0.026</v>
      </c>
      <c r="L349" s="27" t="n">
        <v>16</v>
      </c>
      <c r="M349" s="27" t="n">
        <v>21000</v>
      </c>
      <c r="N349" s="30" t="n">
        <v>43.66</v>
      </c>
      <c r="O349" s="30" t="n">
        <v>9.86</v>
      </c>
      <c r="P349" s="29" t="n">
        <v>0.01</v>
      </c>
      <c r="Q349" s="27" t="n">
        <v>640000</v>
      </c>
      <c r="R349" s="27" t="n">
        <v>165635</v>
      </c>
      <c r="S349" s="27" t="n">
        <v>178205</v>
      </c>
      <c r="T349" s="29" t="n">
        <v>0.657</v>
      </c>
      <c r="U349" s="29" t="n">
        <v>0.324</v>
      </c>
      <c r="V349" s="29" t="n">
        <v>0.879</v>
      </c>
      <c r="W349" s="28" t="n">
        <v>12.3</v>
      </c>
    </row>
    <row r="350" customFormat="false" ht="15" hidden="false" customHeight="false" outlineLevel="0" collapsed="false">
      <c r="A350" s="25" t="s">
        <v>582</v>
      </c>
      <c r="B350" s="25" t="s">
        <v>360</v>
      </c>
      <c r="C350" s="26" t="n">
        <v>45962</v>
      </c>
      <c r="D350" s="27" t="n">
        <v>16428</v>
      </c>
      <c r="E350" s="28" t="n">
        <v>575.8</v>
      </c>
      <c r="F350" s="29" t="n">
        <v>0.0617</v>
      </c>
      <c r="G350" s="29" t="n">
        <v>0.1687</v>
      </c>
      <c r="H350" s="30" t="n">
        <v>12.81</v>
      </c>
      <c r="I350" s="29" t="n">
        <v>0.0243</v>
      </c>
      <c r="J350" s="29" t="n">
        <v>0.0214</v>
      </c>
      <c r="K350" s="29" t="n">
        <v>0.0173</v>
      </c>
      <c r="L350" s="27" t="n">
        <v>16</v>
      </c>
      <c r="M350" s="27" t="n">
        <v>21019</v>
      </c>
      <c r="N350" s="30" t="n">
        <v>41.65</v>
      </c>
      <c r="O350" s="30" t="n">
        <v>10.41</v>
      </c>
      <c r="P350" s="29" t="n">
        <v>0.0101</v>
      </c>
      <c r="Q350" s="27" t="n">
        <v>640000</v>
      </c>
      <c r="R350" s="27" t="n">
        <v>173556</v>
      </c>
      <c r="S350" s="27" t="n">
        <v>187047</v>
      </c>
      <c r="T350" s="29" t="n">
        <v>0.697</v>
      </c>
      <c r="U350" s="29" t="n">
        <v>0.303</v>
      </c>
      <c r="V350" s="29" t="n">
        <v>0.899</v>
      </c>
      <c r="W350" s="28" t="n">
        <v>11.5</v>
      </c>
    </row>
    <row r="351" customFormat="false" ht="15" hidden="false" customHeight="false" outlineLevel="0" collapsed="false">
      <c r="A351" s="25" t="s">
        <v>583</v>
      </c>
      <c r="B351" s="25" t="s">
        <v>360</v>
      </c>
      <c r="C351" s="26" t="n">
        <v>45992</v>
      </c>
      <c r="D351" s="27" t="n">
        <v>16952</v>
      </c>
      <c r="E351" s="28" t="n">
        <v>579.2</v>
      </c>
      <c r="F351" s="29" t="n">
        <v>0.0622</v>
      </c>
      <c r="G351" s="29" t="n">
        <v>0.1718</v>
      </c>
      <c r="H351" s="30" t="n">
        <v>13.3</v>
      </c>
      <c r="I351" s="29" t="n">
        <v>0.0221</v>
      </c>
      <c r="J351" s="29" t="n">
        <v>0.0211</v>
      </c>
      <c r="K351" s="29" t="n">
        <v>0.0343</v>
      </c>
      <c r="L351" s="27" t="n">
        <v>16</v>
      </c>
      <c r="M351" s="27" t="n">
        <v>21038</v>
      </c>
      <c r="N351" s="30" t="n">
        <v>41.61</v>
      </c>
      <c r="O351" s="30" t="n">
        <v>10.31</v>
      </c>
      <c r="P351" s="29" t="n">
        <v>0.0099</v>
      </c>
      <c r="Q351" s="27" t="n">
        <v>640000</v>
      </c>
      <c r="R351" s="27" t="n">
        <v>166411</v>
      </c>
      <c r="S351" s="27" t="n">
        <v>178096</v>
      </c>
      <c r="T351" s="29" t="n">
        <v>0.683</v>
      </c>
      <c r="U351" s="29" t="n">
        <v>0.331</v>
      </c>
      <c r="V351" s="29" t="n">
        <v>0.872</v>
      </c>
      <c r="W351" s="28" t="n">
        <v>12</v>
      </c>
    </row>
    <row r="352" customFormat="false" ht="15" hidden="false" customHeight="false" outlineLevel="0" collapsed="false">
      <c r="A352" s="25" t="s">
        <v>584</v>
      </c>
      <c r="B352" s="25" t="s">
        <v>360</v>
      </c>
      <c r="C352" s="26" t="n">
        <v>46023</v>
      </c>
      <c r="D352" s="27" t="n">
        <v>18751</v>
      </c>
      <c r="E352" s="28" t="n">
        <v>597.9</v>
      </c>
      <c r="F352" s="29" t="n">
        <v>0.0616</v>
      </c>
      <c r="G352" s="29" t="n">
        <v>0.174</v>
      </c>
      <c r="H352" s="30" t="n">
        <v>12.06</v>
      </c>
      <c r="I352" s="29" t="n">
        <v>0.0222</v>
      </c>
      <c r="J352" s="29" t="n">
        <v>0.0205</v>
      </c>
      <c r="K352" s="29" t="n">
        <v>0.0203</v>
      </c>
      <c r="L352" s="27" t="n">
        <v>16</v>
      </c>
      <c r="M352" s="27" t="n">
        <v>21057</v>
      </c>
      <c r="N352" s="30" t="n">
        <v>41.48</v>
      </c>
      <c r="O352" s="30" t="n">
        <v>10.07</v>
      </c>
      <c r="P352" s="29" t="n">
        <v>0.0099</v>
      </c>
      <c r="Q352" s="27" t="n">
        <v>640000</v>
      </c>
      <c r="R352" s="27" t="n">
        <v>167129</v>
      </c>
      <c r="S352" s="27" t="n">
        <v>179637</v>
      </c>
      <c r="T352" s="29" t="n">
        <v>0.714</v>
      </c>
      <c r="U352" s="29" t="n">
        <v>0.315</v>
      </c>
      <c r="V352" s="29" t="n">
        <v>0.91</v>
      </c>
      <c r="W352" s="28" t="n">
        <v>11.2</v>
      </c>
    </row>
    <row r="353" customFormat="false" ht="15" hidden="false" customHeight="false" outlineLevel="0" collapsed="false">
      <c r="A353" s="25" t="s">
        <v>585</v>
      </c>
      <c r="B353" s="25" t="s">
        <v>360</v>
      </c>
      <c r="C353" s="26" t="n">
        <v>46054</v>
      </c>
      <c r="D353" s="27" t="n">
        <v>17468</v>
      </c>
      <c r="E353" s="28" t="n">
        <v>590.2</v>
      </c>
      <c r="F353" s="29" t="n">
        <v>0.0595</v>
      </c>
      <c r="G353" s="29" t="n">
        <v>0.1755</v>
      </c>
      <c r="H353" s="30" t="n">
        <v>13.12</v>
      </c>
      <c r="I353" s="29" t="n">
        <v>0.0234</v>
      </c>
      <c r="J353" s="29" t="n">
        <v>0.0211</v>
      </c>
      <c r="K353" s="29" t="n">
        <v>0.0331</v>
      </c>
      <c r="L353" s="27" t="n">
        <v>18</v>
      </c>
      <c r="M353" s="27" t="n">
        <v>21076</v>
      </c>
      <c r="N353" s="30" t="n">
        <v>41.08</v>
      </c>
      <c r="O353" s="30" t="n">
        <v>10.32</v>
      </c>
      <c r="P353" s="29" t="n">
        <v>0.0099</v>
      </c>
      <c r="Q353" s="27" t="n">
        <v>640000</v>
      </c>
      <c r="R353" s="27" t="n">
        <v>176828</v>
      </c>
      <c r="S353" s="27" t="n">
        <v>156038</v>
      </c>
      <c r="T353" s="29" t="n">
        <v>0.735</v>
      </c>
      <c r="U353" s="29" t="n">
        <v>0.307</v>
      </c>
      <c r="V353" s="29" t="n">
        <v>0.867</v>
      </c>
      <c r="W353" s="28" t="n">
        <v>11.8</v>
      </c>
    </row>
    <row r="354" customFormat="false" ht="15" hidden="false" customHeight="false" outlineLevel="0" collapsed="false">
      <c r="A354" s="25" t="s">
        <v>586</v>
      </c>
      <c r="B354" s="25" t="s">
        <v>360</v>
      </c>
      <c r="C354" s="26" t="n">
        <v>46082</v>
      </c>
      <c r="D354" s="27" t="n">
        <v>23814</v>
      </c>
      <c r="E354" s="28" t="n">
        <v>579.2</v>
      </c>
      <c r="F354" s="29" t="n">
        <v>0.0607</v>
      </c>
      <c r="G354" s="29" t="n">
        <v>0.1712</v>
      </c>
      <c r="H354" s="30" t="n">
        <v>12.3</v>
      </c>
      <c r="I354" s="29" t="n">
        <v>0.0254</v>
      </c>
      <c r="J354" s="29" t="n">
        <v>0.0174</v>
      </c>
      <c r="K354" s="29" t="n">
        <v>0.0224</v>
      </c>
      <c r="L354" s="27" t="n">
        <v>21</v>
      </c>
      <c r="M354" s="27" t="n">
        <v>21095</v>
      </c>
      <c r="N354" s="30" t="n">
        <v>39.19</v>
      </c>
      <c r="O354" s="30" t="n">
        <v>9.9</v>
      </c>
      <c r="P354" s="29" t="n">
        <v>0.0107</v>
      </c>
      <c r="Q354" s="27" t="n">
        <v>640000</v>
      </c>
      <c r="R354" s="27" t="n">
        <v>167059</v>
      </c>
      <c r="S354" s="27" t="n">
        <v>197377</v>
      </c>
      <c r="T354" s="29" t="n">
        <v>0.733</v>
      </c>
      <c r="U354" s="29" t="n">
        <v>0.32</v>
      </c>
      <c r="V354" s="29" t="n">
        <v>0.898</v>
      </c>
      <c r="W354" s="28" t="n">
        <v>11.8</v>
      </c>
    </row>
    <row r="355" customFormat="false" ht="15" hidden="false" customHeight="false" outlineLevel="0" collapsed="false">
      <c r="A355" s="25" t="s">
        <v>587</v>
      </c>
      <c r="B355" s="25" t="s">
        <v>360</v>
      </c>
      <c r="C355" s="26" t="n">
        <v>46113</v>
      </c>
      <c r="D355" s="27" t="n">
        <v>21148</v>
      </c>
      <c r="E355" s="28" t="n">
        <v>587.7</v>
      </c>
      <c r="F355" s="29" t="n">
        <v>0.0593</v>
      </c>
      <c r="G355" s="29" t="n">
        <v>0.1714</v>
      </c>
      <c r="H355" s="30" t="n">
        <v>13.41</v>
      </c>
      <c r="I355" s="29" t="n">
        <v>0.021</v>
      </c>
      <c r="J355" s="29" t="n">
        <v>0.0193</v>
      </c>
      <c r="K355" s="29" t="n">
        <v>0.0279</v>
      </c>
      <c r="L355" s="27" t="n">
        <v>20</v>
      </c>
      <c r="M355" s="27" t="n">
        <v>21115</v>
      </c>
      <c r="N355" s="30" t="n">
        <v>40.6</v>
      </c>
      <c r="O355" s="30" t="n">
        <v>10.25</v>
      </c>
      <c r="P355" s="29" t="n">
        <v>0.01</v>
      </c>
      <c r="Q355" s="27" t="n">
        <v>640000</v>
      </c>
      <c r="R355" s="27" t="n">
        <v>170448</v>
      </c>
      <c r="S355" s="27" t="n">
        <v>162853</v>
      </c>
      <c r="T355" s="29" t="n">
        <v>0.757</v>
      </c>
      <c r="U355" s="29" t="n">
        <v>0.309</v>
      </c>
      <c r="V355" s="29" t="n">
        <v>0.879</v>
      </c>
      <c r="W355" s="28" t="n">
        <v>12.2</v>
      </c>
    </row>
    <row r="356" customFormat="false" ht="15" hidden="false" customHeight="false" outlineLevel="0" collapsed="false">
      <c r="A356" s="25" t="s">
        <v>588</v>
      </c>
      <c r="B356" s="25" t="s">
        <v>360</v>
      </c>
      <c r="C356" s="26" t="n">
        <v>46143</v>
      </c>
      <c r="D356" s="27" t="n">
        <v>25305</v>
      </c>
      <c r="E356" s="28" t="n">
        <v>586</v>
      </c>
      <c r="F356" s="29" t="n">
        <v>0.0554</v>
      </c>
      <c r="G356" s="29" t="n">
        <v>0.1739</v>
      </c>
      <c r="H356" s="30" t="n">
        <v>13.42</v>
      </c>
      <c r="I356" s="29" t="n">
        <v>0.0282</v>
      </c>
      <c r="J356" s="29" t="n">
        <v>0.0156</v>
      </c>
      <c r="K356" s="29" t="n">
        <v>0.0335</v>
      </c>
      <c r="L356" s="27" t="n">
        <v>21</v>
      </c>
      <c r="M356" s="27" t="n">
        <v>21134</v>
      </c>
      <c r="N356" s="30" t="n">
        <v>38.49</v>
      </c>
      <c r="O356" s="30" t="n">
        <v>10.26</v>
      </c>
      <c r="P356" s="29" t="n">
        <v>0.0099</v>
      </c>
      <c r="Q356" s="27" t="n">
        <v>640000</v>
      </c>
      <c r="R356" s="27" t="n">
        <v>168099</v>
      </c>
      <c r="S356" s="27" t="n">
        <v>177521</v>
      </c>
      <c r="T356" s="29" t="n">
        <v>0.757</v>
      </c>
      <c r="U356" s="29" t="n">
        <v>0.308</v>
      </c>
      <c r="V356" s="29" t="n">
        <v>0.885</v>
      </c>
      <c r="W356" s="28" t="n">
        <v>11.7</v>
      </c>
    </row>
    <row r="357" customFormat="false" ht="15" hidden="false" customHeight="false" outlineLevel="0" collapsed="false">
      <c r="A357" s="25" t="s">
        <v>589</v>
      </c>
      <c r="B357" s="25" t="s">
        <v>360</v>
      </c>
      <c r="C357" s="26" t="n">
        <v>46174</v>
      </c>
      <c r="D357" s="27" t="n">
        <v>25192</v>
      </c>
      <c r="E357" s="28" t="n">
        <v>581.7</v>
      </c>
      <c r="F357" s="29" t="n">
        <v>0.0563</v>
      </c>
      <c r="G357" s="29" t="n">
        <v>0.176</v>
      </c>
      <c r="H357" s="30" t="n">
        <v>12.73</v>
      </c>
      <c r="I357" s="29" t="n">
        <v>0.026</v>
      </c>
      <c r="J357" s="29" t="n">
        <v>0.0172</v>
      </c>
      <c r="K357" s="29" t="n">
        <v>0.0188</v>
      </c>
      <c r="L357" s="27" t="n">
        <v>22</v>
      </c>
      <c r="M357" s="27" t="n">
        <v>21153</v>
      </c>
      <c r="N357" s="30" t="n">
        <v>38.96</v>
      </c>
      <c r="O357" s="30" t="n">
        <v>10.25</v>
      </c>
      <c r="P357" s="29" t="n">
        <v>0.0098</v>
      </c>
      <c r="Q357" s="27" t="n">
        <v>640000</v>
      </c>
      <c r="R357" s="27" t="n">
        <v>172645</v>
      </c>
      <c r="S357" s="27" t="n">
        <v>175283</v>
      </c>
      <c r="T357" s="29" t="n">
        <v>0.784</v>
      </c>
      <c r="U357" s="29" t="n">
        <v>0.31</v>
      </c>
      <c r="V357" s="29" t="n">
        <v>0.904</v>
      </c>
      <c r="W357" s="28" t="n">
        <v>11.5</v>
      </c>
    </row>
    <row r="358" customFormat="false" ht="15" hidden="false" customHeight="false" outlineLevel="0" collapsed="false">
      <c r="A358" s="25" t="s">
        <v>590</v>
      </c>
      <c r="B358" s="25" t="s">
        <v>360</v>
      </c>
      <c r="C358" s="26" t="n">
        <v>46204</v>
      </c>
      <c r="D358" s="27" t="n">
        <v>28359</v>
      </c>
      <c r="E358" s="28" t="n">
        <v>574</v>
      </c>
      <c r="F358" s="29" t="n">
        <v>0.0554</v>
      </c>
      <c r="G358" s="29" t="n">
        <v>0.1775</v>
      </c>
      <c r="H358" s="30" t="n">
        <v>12.91</v>
      </c>
      <c r="I358" s="29" t="n">
        <v>0.0272</v>
      </c>
      <c r="J358" s="29" t="n">
        <v>0.0147</v>
      </c>
      <c r="K358" s="29" t="n">
        <v>0.023</v>
      </c>
      <c r="L358" s="27" t="n">
        <v>23</v>
      </c>
      <c r="M358" s="27" t="n">
        <v>21172</v>
      </c>
      <c r="N358" s="30" t="n">
        <v>38.1</v>
      </c>
      <c r="O358" s="30" t="n">
        <v>10.23</v>
      </c>
      <c r="P358" s="29" t="n">
        <v>0.0096</v>
      </c>
      <c r="Q358" s="27" t="n">
        <v>640000</v>
      </c>
      <c r="R358" s="27" t="n">
        <v>161956</v>
      </c>
      <c r="S358" s="27" t="n">
        <v>177607</v>
      </c>
      <c r="T358" s="29" t="n">
        <v>0.771</v>
      </c>
      <c r="U358" s="29" t="n">
        <v>0.304</v>
      </c>
      <c r="V358" s="29" t="n">
        <v>0.883</v>
      </c>
      <c r="W358" s="28" t="n">
        <v>11.2</v>
      </c>
    </row>
    <row r="359" customFormat="false" ht="15" hidden="false" customHeight="false" outlineLevel="0" collapsed="false">
      <c r="A359" s="25" t="s">
        <v>591</v>
      </c>
      <c r="B359" s="25" t="s">
        <v>360</v>
      </c>
      <c r="C359" s="26" t="n">
        <v>46235</v>
      </c>
      <c r="D359" s="27" t="n">
        <v>26149</v>
      </c>
      <c r="E359" s="28" t="n">
        <v>591.3</v>
      </c>
      <c r="F359" s="29" t="n">
        <v>0.0553</v>
      </c>
      <c r="G359" s="29" t="n">
        <v>0.1736</v>
      </c>
      <c r="H359" s="30" t="n">
        <v>11.95</v>
      </c>
      <c r="I359" s="29" t="n">
        <v>0.0263</v>
      </c>
      <c r="J359" s="29" t="n">
        <v>0.0172</v>
      </c>
      <c r="K359" s="29" t="n">
        <v>0.0288</v>
      </c>
      <c r="L359" s="27" t="n">
        <v>23</v>
      </c>
      <c r="M359" s="27" t="n">
        <v>21191</v>
      </c>
      <c r="N359" s="30" t="n">
        <v>38.32</v>
      </c>
      <c r="O359" s="30" t="n">
        <v>10.02</v>
      </c>
      <c r="P359" s="29" t="n">
        <v>0.0104</v>
      </c>
      <c r="Q359" s="27" t="n">
        <v>640000</v>
      </c>
      <c r="R359" s="27" t="n">
        <v>155401</v>
      </c>
      <c r="S359" s="27" t="n">
        <v>164747</v>
      </c>
      <c r="T359" s="29" t="n">
        <v>0.783</v>
      </c>
      <c r="U359" s="29" t="n">
        <v>0.315</v>
      </c>
      <c r="V359" s="29" t="n">
        <v>0.879</v>
      </c>
      <c r="W359" s="28" t="n">
        <v>11.8</v>
      </c>
    </row>
    <row r="360" customFormat="false" ht="15" hidden="false" customHeight="false" outlineLevel="0" collapsed="false">
      <c r="A360" s="25" t="s">
        <v>592</v>
      </c>
      <c r="B360" s="25" t="s">
        <v>360</v>
      </c>
      <c r="C360" s="26" t="n">
        <v>46266</v>
      </c>
      <c r="D360" s="27" t="n">
        <v>28531</v>
      </c>
      <c r="E360" s="28" t="n">
        <v>597.4</v>
      </c>
      <c r="F360" s="29" t="n">
        <v>0.0546</v>
      </c>
      <c r="G360" s="29" t="n">
        <v>0.1743</v>
      </c>
      <c r="H360" s="30" t="n">
        <v>12.43</v>
      </c>
      <c r="I360" s="29" t="n">
        <v>0.0266</v>
      </c>
      <c r="J360" s="29" t="n">
        <v>0.0146</v>
      </c>
      <c r="K360" s="29" t="n">
        <v>0.025</v>
      </c>
      <c r="L360" s="27" t="n">
        <v>25</v>
      </c>
      <c r="M360" s="27" t="n">
        <v>21210</v>
      </c>
      <c r="N360" s="30" t="n">
        <v>38.21</v>
      </c>
      <c r="O360" s="30" t="n">
        <v>10.55</v>
      </c>
      <c r="P360" s="29" t="n">
        <v>0.0097</v>
      </c>
      <c r="Q360" s="27" t="n">
        <v>640000</v>
      </c>
      <c r="R360" s="27" t="n">
        <v>156879</v>
      </c>
      <c r="S360" s="27" t="n">
        <v>176259</v>
      </c>
      <c r="T360" s="29" t="n">
        <v>0.796</v>
      </c>
      <c r="U360" s="29" t="n">
        <v>0.312</v>
      </c>
      <c r="V360" s="29" t="n">
        <v>0.88</v>
      </c>
      <c r="W360" s="28" t="n">
        <v>11.9</v>
      </c>
    </row>
    <row r="361" customFormat="false" ht="15" hidden="false" customHeight="false" outlineLevel="0" collapsed="false">
      <c r="A361" s="25" t="s">
        <v>593</v>
      </c>
      <c r="B361" s="25" t="s">
        <v>368</v>
      </c>
      <c r="C361" s="26" t="n">
        <v>45931</v>
      </c>
      <c r="D361" s="27" t="n">
        <v>17686</v>
      </c>
      <c r="E361" s="28" t="n">
        <v>641.2</v>
      </c>
      <c r="F361" s="29" t="n">
        <v>0.0675</v>
      </c>
      <c r="G361" s="29" t="n">
        <v>0.1618</v>
      </c>
      <c r="H361" s="30" t="n">
        <v>12.51</v>
      </c>
      <c r="I361" s="29" t="n">
        <v>0.0233</v>
      </c>
      <c r="J361" s="29" t="n">
        <v>0.0426</v>
      </c>
      <c r="K361" s="29" t="n">
        <v>0.0674</v>
      </c>
      <c r="L361" s="27" t="n">
        <v>16</v>
      </c>
      <c r="M361" s="27" t="n">
        <v>21000</v>
      </c>
      <c r="N361" s="30" t="n">
        <v>39.72</v>
      </c>
      <c r="O361" s="30" t="n">
        <v>10.41</v>
      </c>
      <c r="P361" s="29" t="n">
        <v>0.0095</v>
      </c>
      <c r="Q361" s="27" t="n">
        <v>576000</v>
      </c>
      <c r="R361" s="27" t="n">
        <v>167249</v>
      </c>
      <c r="S361" s="27" t="n">
        <v>212602</v>
      </c>
      <c r="T361" s="29" t="n">
        <v>0.713</v>
      </c>
      <c r="U361" s="29" t="n">
        <v>0.274</v>
      </c>
      <c r="V361" s="29" t="n">
        <v>0.821</v>
      </c>
      <c r="W361" s="28" t="n">
        <v>13.1</v>
      </c>
    </row>
    <row r="362" customFormat="false" ht="15" hidden="false" customHeight="false" outlineLevel="0" collapsed="false">
      <c r="A362" s="25" t="s">
        <v>594</v>
      </c>
      <c r="B362" s="25" t="s">
        <v>368</v>
      </c>
      <c r="C362" s="26" t="n">
        <v>45962</v>
      </c>
      <c r="D362" s="27" t="n">
        <v>19619</v>
      </c>
      <c r="E362" s="28" t="n">
        <v>655.3</v>
      </c>
      <c r="F362" s="29" t="n">
        <v>0.0613</v>
      </c>
      <c r="G362" s="29" t="n">
        <v>0.1643</v>
      </c>
      <c r="H362" s="30" t="n">
        <v>12.46</v>
      </c>
      <c r="I362" s="29" t="n">
        <v>0.0222</v>
      </c>
      <c r="J362" s="29" t="n">
        <v>0.0401</v>
      </c>
      <c r="K362" s="29" t="n">
        <v>0.0792</v>
      </c>
      <c r="L362" s="27" t="n">
        <v>16</v>
      </c>
      <c r="M362" s="27" t="n">
        <v>21019</v>
      </c>
      <c r="N362" s="30" t="n">
        <v>38.51</v>
      </c>
      <c r="O362" s="30" t="n">
        <v>10.33</v>
      </c>
      <c r="P362" s="29" t="n">
        <v>0.0096</v>
      </c>
      <c r="Q362" s="27" t="n">
        <v>576000</v>
      </c>
      <c r="R362" s="27" t="n">
        <v>166137</v>
      </c>
      <c r="S362" s="27" t="n">
        <v>226524</v>
      </c>
      <c r="T362" s="29" t="n">
        <v>0.714</v>
      </c>
      <c r="U362" s="29" t="n">
        <v>0.266</v>
      </c>
      <c r="V362" s="29" t="n">
        <v>0.811</v>
      </c>
      <c r="W362" s="28" t="n">
        <v>12.6</v>
      </c>
    </row>
    <row r="363" customFormat="false" ht="15" hidden="false" customHeight="false" outlineLevel="0" collapsed="false">
      <c r="A363" s="25" t="s">
        <v>595</v>
      </c>
      <c r="B363" s="25" t="s">
        <v>368</v>
      </c>
      <c r="C363" s="26" t="n">
        <v>45992</v>
      </c>
      <c r="D363" s="27" t="n">
        <v>20507</v>
      </c>
      <c r="E363" s="28" t="n">
        <v>631.6</v>
      </c>
      <c r="F363" s="29" t="n">
        <v>0.0591</v>
      </c>
      <c r="G363" s="29" t="n">
        <v>0.1625</v>
      </c>
      <c r="H363" s="30" t="n">
        <v>12.12</v>
      </c>
      <c r="I363" s="29" t="n">
        <v>0.0237</v>
      </c>
      <c r="J363" s="29" t="n">
        <v>0.0403</v>
      </c>
      <c r="K363" s="29" t="n">
        <v>0.0704</v>
      </c>
      <c r="L363" s="27" t="n">
        <v>16</v>
      </c>
      <c r="M363" s="27" t="n">
        <v>21038</v>
      </c>
      <c r="N363" s="30" t="n">
        <v>38.42</v>
      </c>
      <c r="O363" s="30" t="n">
        <v>10.65</v>
      </c>
      <c r="P363" s="29" t="n">
        <v>0.01</v>
      </c>
      <c r="Q363" s="27" t="n">
        <v>576000</v>
      </c>
      <c r="R363" s="27" t="n">
        <v>158461</v>
      </c>
      <c r="S363" s="27" t="n">
        <v>188440</v>
      </c>
      <c r="T363" s="29" t="n">
        <v>0.71</v>
      </c>
      <c r="U363" s="29" t="n">
        <v>0.271</v>
      </c>
      <c r="V363" s="29" t="n">
        <v>0.819</v>
      </c>
      <c r="W363" s="28" t="n">
        <v>13.1</v>
      </c>
    </row>
    <row r="364" customFormat="false" ht="15" hidden="false" customHeight="false" outlineLevel="0" collapsed="false">
      <c r="A364" s="25" t="s">
        <v>596</v>
      </c>
      <c r="B364" s="25" t="s">
        <v>368</v>
      </c>
      <c r="C364" s="26" t="n">
        <v>46023</v>
      </c>
      <c r="D364" s="27" t="n">
        <v>21736</v>
      </c>
      <c r="E364" s="28" t="n">
        <v>651.7</v>
      </c>
      <c r="F364" s="29" t="n">
        <v>0.0619</v>
      </c>
      <c r="G364" s="29" t="n">
        <v>0.1638</v>
      </c>
      <c r="H364" s="30" t="n">
        <v>11.92</v>
      </c>
      <c r="I364" s="29" t="n">
        <v>0.0239</v>
      </c>
      <c r="J364" s="29" t="n">
        <v>0.0402</v>
      </c>
      <c r="K364" s="29" t="n">
        <v>0.0766</v>
      </c>
      <c r="L364" s="27" t="n">
        <v>16</v>
      </c>
      <c r="M364" s="27" t="n">
        <v>21057</v>
      </c>
      <c r="N364" s="30" t="n">
        <v>38.17</v>
      </c>
      <c r="O364" s="30" t="n">
        <v>10.16</v>
      </c>
      <c r="P364" s="29" t="n">
        <v>0.0098</v>
      </c>
      <c r="Q364" s="27" t="n">
        <v>576000</v>
      </c>
      <c r="R364" s="27" t="n">
        <v>175085</v>
      </c>
      <c r="S364" s="27" t="n">
        <v>194999</v>
      </c>
      <c r="T364" s="29" t="n">
        <v>0.728</v>
      </c>
      <c r="U364" s="29" t="n">
        <v>0.275</v>
      </c>
      <c r="V364" s="29" t="n">
        <v>0.804</v>
      </c>
      <c r="W364" s="28" t="n">
        <v>13.2</v>
      </c>
    </row>
    <row r="365" customFormat="false" ht="15" hidden="false" customHeight="false" outlineLevel="0" collapsed="false">
      <c r="A365" s="25" t="s">
        <v>597</v>
      </c>
      <c r="B365" s="25" t="s">
        <v>368</v>
      </c>
      <c r="C365" s="26" t="n">
        <v>46054</v>
      </c>
      <c r="D365" s="27" t="n">
        <v>19821</v>
      </c>
      <c r="E365" s="28" t="n">
        <v>635.3</v>
      </c>
      <c r="F365" s="29" t="n">
        <v>0.0536</v>
      </c>
      <c r="G365" s="29" t="n">
        <v>0.1647</v>
      </c>
      <c r="H365" s="30" t="n">
        <v>11.77</v>
      </c>
      <c r="I365" s="29" t="n">
        <v>0.0253</v>
      </c>
      <c r="J365" s="29" t="n">
        <v>0.0395</v>
      </c>
      <c r="K365" s="29" t="n">
        <v>0.0747</v>
      </c>
      <c r="L365" s="27" t="n">
        <v>16</v>
      </c>
      <c r="M365" s="27" t="n">
        <v>21076</v>
      </c>
      <c r="N365" s="30" t="n">
        <v>38.48</v>
      </c>
      <c r="O365" s="30" t="n">
        <v>10.27</v>
      </c>
      <c r="P365" s="29" t="n">
        <v>0.0103</v>
      </c>
      <c r="Q365" s="27" t="n">
        <v>576000</v>
      </c>
      <c r="R365" s="27" t="n">
        <v>163075</v>
      </c>
      <c r="S365" s="27" t="n">
        <v>173721</v>
      </c>
      <c r="T365" s="29" t="n">
        <v>0.754</v>
      </c>
      <c r="U365" s="29" t="n">
        <v>0.254</v>
      </c>
      <c r="V365" s="29" t="n">
        <v>0.806</v>
      </c>
      <c r="W365" s="28" t="n">
        <v>12.8</v>
      </c>
    </row>
    <row r="366" customFormat="false" ht="15" hidden="false" customHeight="false" outlineLevel="0" collapsed="false">
      <c r="A366" s="25" t="s">
        <v>598</v>
      </c>
      <c r="B366" s="25" t="s">
        <v>368</v>
      </c>
      <c r="C366" s="26" t="n">
        <v>46082</v>
      </c>
      <c r="D366" s="27" t="n">
        <v>24135</v>
      </c>
      <c r="E366" s="28" t="n">
        <v>640.2</v>
      </c>
      <c r="F366" s="29" t="n">
        <v>0.0557</v>
      </c>
      <c r="G366" s="29" t="n">
        <v>0.1598</v>
      </c>
      <c r="H366" s="30" t="n">
        <v>11.27</v>
      </c>
      <c r="I366" s="29" t="n">
        <v>0.0256</v>
      </c>
      <c r="J366" s="29" t="n">
        <v>0.0379</v>
      </c>
      <c r="K366" s="29" t="n">
        <v>0.0709</v>
      </c>
      <c r="L366" s="27" t="n">
        <v>17</v>
      </c>
      <c r="M366" s="27" t="n">
        <v>21095</v>
      </c>
      <c r="N366" s="30" t="n">
        <v>37.46</v>
      </c>
      <c r="O366" s="30" t="n">
        <v>10.3</v>
      </c>
      <c r="P366" s="29" t="n">
        <v>0.0101</v>
      </c>
      <c r="Q366" s="27" t="n">
        <v>576000</v>
      </c>
      <c r="R366" s="27" t="n">
        <v>160219</v>
      </c>
      <c r="S366" s="27" t="n">
        <v>202943</v>
      </c>
      <c r="T366" s="29" t="n">
        <v>0.757</v>
      </c>
      <c r="U366" s="29" t="n">
        <v>0.283</v>
      </c>
      <c r="V366" s="29" t="n">
        <v>0.807</v>
      </c>
      <c r="W366" s="28" t="n">
        <v>13.5</v>
      </c>
    </row>
    <row r="367" customFormat="false" ht="15" hidden="false" customHeight="false" outlineLevel="0" collapsed="false">
      <c r="A367" s="25" t="s">
        <v>599</v>
      </c>
      <c r="B367" s="25" t="s">
        <v>368</v>
      </c>
      <c r="C367" s="26" t="n">
        <v>46113</v>
      </c>
      <c r="D367" s="27" t="n">
        <v>24918</v>
      </c>
      <c r="E367" s="28" t="n">
        <v>656.1</v>
      </c>
      <c r="F367" s="29" t="n">
        <v>0.0589</v>
      </c>
      <c r="G367" s="29" t="n">
        <v>0.1667</v>
      </c>
      <c r="H367" s="30" t="n">
        <v>12.24</v>
      </c>
      <c r="I367" s="29" t="n">
        <v>0.0256</v>
      </c>
      <c r="J367" s="29" t="n">
        <v>0.0378</v>
      </c>
      <c r="K367" s="29" t="n">
        <v>0.0779</v>
      </c>
      <c r="L367" s="27" t="n">
        <v>18</v>
      </c>
      <c r="M367" s="27" t="n">
        <v>21115</v>
      </c>
      <c r="N367" s="30" t="n">
        <v>36.49</v>
      </c>
      <c r="O367" s="30" t="n">
        <v>10.3</v>
      </c>
      <c r="P367" s="29" t="n">
        <v>0.0104</v>
      </c>
      <c r="Q367" s="27" t="n">
        <v>576000</v>
      </c>
      <c r="R367" s="27" t="n">
        <v>173127</v>
      </c>
      <c r="S367" s="27" t="n">
        <v>195916</v>
      </c>
      <c r="T367" s="29" t="n">
        <v>0.767</v>
      </c>
      <c r="U367" s="29" t="n">
        <v>0.289</v>
      </c>
      <c r="V367" s="29" t="n">
        <v>0.791</v>
      </c>
      <c r="W367" s="28" t="n">
        <v>14.1</v>
      </c>
    </row>
    <row r="368" customFormat="false" ht="15" hidden="false" customHeight="false" outlineLevel="0" collapsed="false">
      <c r="A368" s="25" t="s">
        <v>600</v>
      </c>
      <c r="B368" s="25" t="s">
        <v>368</v>
      </c>
      <c r="C368" s="26" t="n">
        <v>46143</v>
      </c>
      <c r="D368" s="27" t="n">
        <v>27028</v>
      </c>
      <c r="E368" s="28" t="n">
        <v>649.2</v>
      </c>
      <c r="F368" s="29" t="n">
        <v>0.0565</v>
      </c>
      <c r="G368" s="29" t="n">
        <v>0.1641</v>
      </c>
      <c r="H368" s="30" t="n">
        <v>12.22</v>
      </c>
      <c r="I368" s="29" t="n">
        <v>0.0258</v>
      </c>
      <c r="J368" s="29" t="n">
        <v>0.0359</v>
      </c>
      <c r="K368" s="29" t="n">
        <v>0.0754</v>
      </c>
      <c r="L368" s="27" t="n">
        <v>19</v>
      </c>
      <c r="M368" s="27" t="n">
        <v>21134</v>
      </c>
      <c r="N368" s="30" t="n">
        <v>36.58</v>
      </c>
      <c r="O368" s="30" t="n">
        <v>10.51</v>
      </c>
      <c r="P368" s="29" t="n">
        <v>0.0103</v>
      </c>
      <c r="Q368" s="27" t="n">
        <v>576000</v>
      </c>
      <c r="R368" s="27" t="n">
        <v>166523</v>
      </c>
      <c r="S368" s="27" t="n">
        <v>199327</v>
      </c>
      <c r="T368" s="29" t="n">
        <v>0.774</v>
      </c>
      <c r="U368" s="29" t="n">
        <v>0.264</v>
      </c>
      <c r="V368" s="29" t="n">
        <v>0.797</v>
      </c>
      <c r="W368" s="28" t="n">
        <v>13.4</v>
      </c>
    </row>
    <row r="369" customFormat="false" ht="15" hidden="false" customHeight="false" outlineLevel="0" collapsed="false">
      <c r="A369" s="25" t="s">
        <v>601</v>
      </c>
      <c r="B369" s="25" t="s">
        <v>368</v>
      </c>
      <c r="C369" s="26" t="n">
        <v>46174</v>
      </c>
      <c r="D369" s="27" t="n">
        <v>26830</v>
      </c>
      <c r="E369" s="28" t="n">
        <v>648.7</v>
      </c>
      <c r="F369" s="29" t="n">
        <v>0.0565</v>
      </c>
      <c r="G369" s="29" t="n">
        <v>0.1644</v>
      </c>
      <c r="H369" s="30" t="n">
        <v>11.74</v>
      </c>
      <c r="I369" s="29" t="n">
        <v>0.0235</v>
      </c>
      <c r="J369" s="29" t="n">
        <v>0.0365</v>
      </c>
      <c r="K369" s="29" t="n">
        <v>0.0664</v>
      </c>
      <c r="L369" s="27" t="n">
        <v>19</v>
      </c>
      <c r="M369" s="27" t="n">
        <v>21153</v>
      </c>
      <c r="N369" s="30" t="n">
        <v>35.75</v>
      </c>
      <c r="O369" s="30" t="n">
        <v>9.8</v>
      </c>
      <c r="P369" s="29" t="n">
        <v>0.0094</v>
      </c>
      <c r="Q369" s="27" t="n">
        <v>576000</v>
      </c>
      <c r="R369" s="27" t="n">
        <v>166545</v>
      </c>
      <c r="S369" s="27" t="n">
        <v>199716</v>
      </c>
      <c r="T369" s="29" t="n">
        <v>0.784</v>
      </c>
      <c r="U369" s="29" t="n">
        <v>0.257</v>
      </c>
      <c r="V369" s="29" t="n">
        <v>0.838</v>
      </c>
      <c r="W369" s="28" t="n">
        <v>12.7</v>
      </c>
    </row>
    <row r="370" customFormat="false" ht="15" hidden="false" customHeight="false" outlineLevel="0" collapsed="false">
      <c r="A370" s="25" t="s">
        <v>602</v>
      </c>
      <c r="B370" s="25" t="s">
        <v>368</v>
      </c>
      <c r="C370" s="26" t="n">
        <v>46204</v>
      </c>
      <c r="D370" s="27" t="n">
        <v>27411</v>
      </c>
      <c r="E370" s="28" t="n">
        <v>642.7</v>
      </c>
      <c r="F370" s="29" t="n">
        <v>0.0554</v>
      </c>
      <c r="G370" s="29" t="n">
        <v>0.1657</v>
      </c>
      <c r="H370" s="30" t="n">
        <v>12.51</v>
      </c>
      <c r="I370" s="29" t="n">
        <v>0.0268</v>
      </c>
      <c r="J370" s="29" t="n">
        <v>0.0352</v>
      </c>
      <c r="K370" s="29" t="n">
        <v>0.0775</v>
      </c>
      <c r="L370" s="27" t="n">
        <v>19</v>
      </c>
      <c r="M370" s="27" t="n">
        <v>21172</v>
      </c>
      <c r="N370" s="30" t="n">
        <v>35.51</v>
      </c>
      <c r="O370" s="30" t="n">
        <v>10.35</v>
      </c>
      <c r="P370" s="29" t="n">
        <v>0.0101</v>
      </c>
      <c r="Q370" s="27" t="n">
        <v>576000</v>
      </c>
      <c r="R370" s="27" t="n">
        <v>156954</v>
      </c>
      <c r="S370" s="27" t="n">
        <v>192637</v>
      </c>
      <c r="T370" s="29" t="n">
        <v>0.782</v>
      </c>
      <c r="U370" s="29" t="n">
        <v>0.265</v>
      </c>
      <c r="V370" s="29" t="n">
        <v>0.805</v>
      </c>
      <c r="W370" s="28" t="n">
        <v>13.7</v>
      </c>
    </row>
    <row r="371" customFormat="false" ht="15" hidden="false" customHeight="false" outlineLevel="0" collapsed="false">
      <c r="A371" s="25" t="s">
        <v>603</v>
      </c>
      <c r="B371" s="25" t="s">
        <v>368</v>
      </c>
      <c r="C371" s="26" t="n">
        <v>46235</v>
      </c>
      <c r="D371" s="27" t="n">
        <v>29280</v>
      </c>
      <c r="E371" s="28" t="n">
        <v>645.6</v>
      </c>
      <c r="F371" s="29" t="n">
        <v>0.0526</v>
      </c>
      <c r="G371" s="29" t="n">
        <v>0.1668</v>
      </c>
      <c r="H371" s="30" t="n">
        <v>11.51</v>
      </c>
      <c r="I371" s="29" t="n">
        <v>0.0282</v>
      </c>
      <c r="J371" s="29" t="n">
        <v>0.0352</v>
      </c>
      <c r="K371" s="29" t="n">
        <v>0.0676</v>
      </c>
      <c r="L371" s="27" t="n">
        <v>19</v>
      </c>
      <c r="M371" s="27" t="n">
        <v>21191</v>
      </c>
      <c r="N371" s="30" t="n">
        <v>35.7</v>
      </c>
      <c r="O371" s="30" t="n">
        <v>10.28</v>
      </c>
      <c r="P371" s="29" t="n">
        <v>0.0093</v>
      </c>
      <c r="Q371" s="27" t="n">
        <v>576000</v>
      </c>
      <c r="R371" s="27" t="n">
        <v>169871</v>
      </c>
      <c r="S371" s="27" t="n">
        <v>199675</v>
      </c>
      <c r="T371" s="29" t="n">
        <v>0.754</v>
      </c>
      <c r="U371" s="29" t="n">
        <v>0.269</v>
      </c>
      <c r="V371" s="29" t="n">
        <v>0.806</v>
      </c>
      <c r="W371" s="28" t="n">
        <v>13.3</v>
      </c>
    </row>
    <row r="372" customFormat="false" ht="15" hidden="false" customHeight="false" outlineLevel="0" collapsed="false">
      <c r="A372" s="25" t="s">
        <v>604</v>
      </c>
      <c r="B372" s="25" t="s">
        <v>368</v>
      </c>
      <c r="C372" s="26" t="n">
        <v>46266</v>
      </c>
      <c r="D372" s="27" t="n">
        <v>27797</v>
      </c>
      <c r="E372" s="28" t="n">
        <v>644.4</v>
      </c>
      <c r="F372" s="29" t="n">
        <v>0.0534</v>
      </c>
      <c r="G372" s="29" t="n">
        <v>0.1612</v>
      </c>
      <c r="H372" s="30" t="n">
        <v>12.44</v>
      </c>
      <c r="I372" s="29" t="n">
        <v>0.0264</v>
      </c>
      <c r="J372" s="29" t="n">
        <v>0.0352</v>
      </c>
      <c r="K372" s="29" t="n">
        <v>0.082</v>
      </c>
      <c r="L372" s="27" t="n">
        <v>20</v>
      </c>
      <c r="M372" s="27" t="n">
        <v>21210</v>
      </c>
      <c r="N372" s="30" t="n">
        <v>36.13</v>
      </c>
      <c r="O372" s="30" t="n">
        <v>10.37</v>
      </c>
      <c r="P372" s="29" t="n">
        <v>0.0103</v>
      </c>
      <c r="Q372" s="27" t="n">
        <v>576000</v>
      </c>
      <c r="R372" s="27" t="n">
        <v>163502</v>
      </c>
      <c r="S372" s="27" t="n">
        <v>167739</v>
      </c>
      <c r="T372" s="29" t="n">
        <v>0.8</v>
      </c>
      <c r="U372" s="29" t="n">
        <v>0.262</v>
      </c>
      <c r="V372" s="29" t="n">
        <v>0.786</v>
      </c>
      <c r="W372" s="28" t="n">
        <v>13.8</v>
      </c>
    </row>
    <row r="373" customFormat="false" ht="15" hidden="false" customHeight="false" outlineLevel="0" collapsed="false">
      <c r="A373" s="25" t="s">
        <v>605</v>
      </c>
      <c r="B373" s="25" t="s">
        <v>369</v>
      </c>
      <c r="C373" s="26" t="n">
        <v>45931</v>
      </c>
      <c r="D373" s="27" t="n">
        <v>2211</v>
      </c>
      <c r="E373" s="28" t="n">
        <v>699.2</v>
      </c>
      <c r="F373" s="29" t="n">
        <v>0.0867</v>
      </c>
      <c r="G373" s="29" t="n">
        <v>0.1664</v>
      </c>
      <c r="H373" s="30" t="n">
        <v>11.83</v>
      </c>
      <c r="I373" s="29" t="n">
        <v>0.0167</v>
      </c>
      <c r="J373" s="29" t="n">
        <v>0.0377</v>
      </c>
      <c r="K373" s="29" t="n">
        <v>0.0349</v>
      </c>
      <c r="L373" s="27" t="n">
        <v>16</v>
      </c>
      <c r="M373" s="27" t="n">
        <v>23000</v>
      </c>
      <c r="N373" s="30" t="n">
        <v>51.03</v>
      </c>
      <c r="O373" s="30" t="n">
        <v>10.67</v>
      </c>
      <c r="P373" s="29" t="n">
        <v>0.0101</v>
      </c>
      <c r="Q373" s="27" t="n">
        <v>572000</v>
      </c>
      <c r="R373" s="27" t="n">
        <v>163344</v>
      </c>
      <c r="S373" s="27" t="n">
        <v>47263</v>
      </c>
      <c r="T373" s="29" t="n">
        <v>0.579</v>
      </c>
      <c r="U373" s="29" t="n">
        <v>0.196</v>
      </c>
      <c r="V373" s="29" t="n">
        <v>0.893</v>
      </c>
      <c r="W373" s="28" t="n">
        <v>11.8</v>
      </c>
    </row>
    <row r="374" customFormat="false" ht="15" hidden="false" customHeight="false" outlineLevel="0" collapsed="false">
      <c r="A374" s="25" t="s">
        <v>606</v>
      </c>
      <c r="B374" s="25" t="s">
        <v>369</v>
      </c>
      <c r="C374" s="26" t="n">
        <v>45962</v>
      </c>
      <c r="D374" s="27" t="n">
        <v>2355</v>
      </c>
      <c r="E374" s="28" t="n">
        <v>698.5</v>
      </c>
      <c r="F374" s="29" t="n">
        <v>0.0858</v>
      </c>
      <c r="G374" s="29" t="n">
        <v>0.1665</v>
      </c>
      <c r="H374" s="30" t="n">
        <v>12.05</v>
      </c>
      <c r="I374" s="29" t="n">
        <v>0.0176</v>
      </c>
      <c r="J374" s="29" t="n">
        <v>0.0373</v>
      </c>
      <c r="K374" s="29" t="n">
        <v>0.0423</v>
      </c>
      <c r="L374" s="27" t="n">
        <v>16</v>
      </c>
      <c r="M374" s="27" t="n">
        <v>23021</v>
      </c>
      <c r="N374" s="30" t="n">
        <v>51.86</v>
      </c>
      <c r="O374" s="30" t="n">
        <v>10.78</v>
      </c>
      <c r="P374" s="29" t="n">
        <v>0.0101</v>
      </c>
      <c r="Q374" s="27" t="n">
        <v>572000</v>
      </c>
      <c r="R374" s="27" t="n">
        <v>154332</v>
      </c>
      <c r="S374" s="27" t="n">
        <v>50759</v>
      </c>
      <c r="T374" s="29" t="n">
        <v>0.586</v>
      </c>
      <c r="U374" s="29" t="n">
        <v>0.219</v>
      </c>
      <c r="V374" s="29" t="n">
        <v>0.866</v>
      </c>
      <c r="W374" s="28" t="n">
        <v>12.7</v>
      </c>
    </row>
    <row r="375" customFormat="false" ht="15" hidden="false" customHeight="false" outlineLevel="0" collapsed="false">
      <c r="A375" s="25" t="s">
        <v>607</v>
      </c>
      <c r="B375" s="25" t="s">
        <v>369</v>
      </c>
      <c r="C375" s="26" t="n">
        <v>45992</v>
      </c>
      <c r="D375" s="27" t="n">
        <v>2231</v>
      </c>
      <c r="E375" s="28" t="n">
        <v>683</v>
      </c>
      <c r="F375" s="29" t="n">
        <v>0.084</v>
      </c>
      <c r="G375" s="29" t="n">
        <v>0.1618</v>
      </c>
      <c r="H375" s="30" t="n">
        <v>10.93</v>
      </c>
      <c r="I375" s="29" t="n">
        <v>0.018</v>
      </c>
      <c r="J375" s="29" t="n">
        <v>0.0384</v>
      </c>
      <c r="K375" s="29" t="n">
        <v>0.0279</v>
      </c>
      <c r="L375" s="27" t="n">
        <v>16</v>
      </c>
      <c r="M375" s="27" t="n">
        <v>23042</v>
      </c>
      <c r="N375" s="30" t="n">
        <v>52.01</v>
      </c>
      <c r="O375" s="30" t="n">
        <v>11.01</v>
      </c>
      <c r="P375" s="29" t="n">
        <v>0.0099</v>
      </c>
      <c r="Q375" s="27" t="n">
        <v>572000</v>
      </c>
      <c r="R375" s="27" t="n">
        <v>165941</v>
      </c>
      <c r="S375" s="27" t="n">
        <v>47385</v>
      </c>
      <c r="T375" s="29" t="n">
        <v>0.576</v>
      </c>
      <c r="U375" s="29" t="n">
        <v>0.198</v>
      </c>
      <c r="V375" s="29" t="n">
        <v>0.895</v>
      </c>
      <c r="W375" s="28" t="n">
        <v>11.7</v>
      </c>
    </row>
    <row r="376" customFormat="false" ht="15" hidden="false" customHeight="false" outlineLevel="0" collapsed="false">
      <c r="A376" s="25" t="s">
        <v>608</v>
      </c>
      <c r="B376" s="25" t="s">
        <v>369</v>
      </c>
      <c r="C376" s="26" t="n">
        <v>46023</v>
      </c>
      <c r="D376" s="27" t="n">
        <v>2106</v>
      </c>
      <c r="E376" s="28" t="n">
        <v>703.2</v>
      </c>
      <c r="F376" s="29" t="n">
        <v>0.0851</v>
      </c>
      <c r="G376" s="29" t="n">
        <v>0.1663</v>
      </c>
      <c r="H376" s="30" t="n">
        <v>11.49</v>
      </c>
      <c r="I376" s="29" t="n">
        <v>0.0184</v>
      </c>
      <c r="J376" s="29" t="n">
        <v>0.0381</v>
      </c>
      <c r="K376" s="29" t="n">
        <v>0.0383</v>
      </c>
      <c r="L376" s="27" t="n">
        <v>16</v>
      </c>
      <c r="M376" s="27" t="n">
        <v>23063</v>
      </c>
      <c r="N376" s="30" t="n">
        <v>51.8</v>
      </c>
      <c r="O376" s="30" t="n">
        <v>10.9</v>
      </c>
      <c r="P376" s="29" t="n">
        <v>0.0102</v>
      </c>
      <c r="Q376" s="27" t="n">
        <v>572000</v>
      </c>
      <c r="R376" s="27" t="n">
        <v>167046</v>
      </c>
      <c r="S376" s="27" t="n">
        <v>44418</v>
      </c>
      <c r="T376" s="29" t="n">
        <v>0.557</v>
      </c>
      <c r="U376" s="29" t="n">
        <v>0.196</v>
      </c>
      <c r="V376" s="29" t="n">
        <v>0.877</v>
      </c>
      <c r="W376" s="28" t="n">
        <v>12</v>
      </c>
    </row>
    <row r="377" customFormat="false" ht="15" hidden="false" customHeight="false" outlineLevel="0" collapsed="false">
      <c r="A377" s="25" t="s">
        <v>609</v>
      </c>
      <c r="B377" s="25" t="s">
        <v>369</v>
      </c>
      <c r="C377" s="26" t="n">
        <v>46054</v>
      </c>
      <c r="D377" s="27" t="n">
        <v>1904</v>
      </c>
      <c r="E377" s="28" t="n">
        <v>698.2</v>
      </c>
      <c r="F377" s="29" t="n">
        <v>0.0844</v>
      </c>
      <c r="G377" s="29" t="n">
        <v>0.1652</v>
      </c>
      <c r="H377" s="30" t="n">
        <v>10.85</v>
      </c>
      <c r="I377" s="29" t="n">
        <v>0.0162</v>
      </c>
      <c r="J377" s="29" t="n">
        <v>0.0374</v>
      </c>
      <c r="K377" s="29" t="n">
        <v>0.0406</v>
      </c>
      <c r="L377" s="27" t="n">
        <v>16</v>
      </c>
      <c r="M377" s="27" t="n">
        <v>23084</v>
      </c>
      <c r="N377" s="30" t="n">
        <v>52.64</v>
      </c>
      <c r="O377" s="30" t="n">
        <v>10.65</v>
      </c>
      <c r="P377" s="29" t="n">
        <v>0.0102</v>
      </c>
      <c r="Q377" s="27" t="n">
        <v>572000</v>
      </c>
      <c r="R377" s="27" t="n">
        <v>160894</v>
      </c>
      <c r="S377" s="27" t="n">
        <v>42181</v>
      </c>
      <c r="T377" s="29" t="n">
        <v>0.589</v>
      </c>
      <c r="U377" s="29" t="n">
        <v>0.199</v>
      </c>
      <c r="V377" s="29" t="n">
        <v>0.869</v>
      </c>
      <c r="W377" s="28" t="n">
        <v>12.3</v>
      </c>
    </row>
    <row r="378" customFormat="false" ht="15" hidden="false" customHeight="false" outlineLevel="0" collapsed="false">
      <c r="A378" s="25" t="s">
        <v>610</v>
      </c>
      <c r="B378" s="25" t="s">
        <v>369</v>
      </c>
      <c r="C378" s="26" t="n">
        <v>46082</v>
      </c>
      <c r="D378" s="27" t="n">
        <v>2351</v>
      </c>
      <c r="E378" s="28" t="n">
        <v>708.8</v>
      </c>
      <c r="F378" s="29" t="n">
        <v>0.0862</v>
      </c>
      <c r="G378" s="29" t="n">
        <v>0.1686</v>
      </c>
      <c r="H378" s="30" t="n">
        <v>11.67</v>
      </c>
      <c r="I378" s="29" t="n">
        <v>0.0181</v>
      </c>
      <c r="J378" s="29" t="n">
        <v>0.0381</v>
      </c>
      <c r="K378" s="29" t="n">
        <v>0.0389</v>
      </c>
      <c r="L378" s="27" t="n">
        <v>16</v>
      </c>
      <c r="M378" s="27" t="n">
        <v>23105</v>
      </c>
      <c r="N378" s="30" t="n">
        <v>52.33</v>
      </c>
      <c r="O378" s="30" t="n">
        <v>11.24</v>
      </c>
      <c r="P378" s="29" t="n">
        <v>0.01</v>
      </c>
      <c r="Q378" s="27" t="n">
        <v>572000</v>
      </c>
      <c r="R378" s="27" t="n">
        <v>175783</v>
      </c>
      <c r="S378" s="27" t="n">
        <v>51389</v>
      </c>
      <c r="T378" s="29" t="n">
        <v>0.579</v>
      </c>
      <c r="U378" s="29" t="n">
        <v>0.209</v>
      </c>
      <c r="V378" s="29" t="n">
        <v>0.883</v>
      </c>
      <c r="W378" s="28" t="n">
        <v>11.7</v>
      </c>
    </row>
    <row r="379" customFormat="false" ht="15" hidden="false" customHeight="false" outlineLevel="0" collapsed="false">
      <c r="A379" s="25" t="s">
        <v>611</v>
      </c>
      <c r="B379" s="25" t="s">
        <v>369</v>
      </c>
      <c r="C379" s="26" t="n">
        <v>46113</v>
      </c>
      <c r="D379" s="27" t="n">
        <v>4673</v>
      </c>
      <c r="E379" s="28" t="n">
        <v>713.1</v>
      </c>
      <c r="F379" s="29" t="n">
        <v>0.0804</v>
      </c>
      <c r="G379" s="29" t="n">
        <v>0.1659</v>
      </c>
      <c r="H379" s="30" t="n">
        <v>11.78</v>
      </c>
      <c r="I379" s="29" t="n">
        <v>0.018</v>
      </c>
      <c r="J379" s="29" t="n">
        <v>0.036</v>
      </c>
      <c r="K379" s="29" t="n">
        <v>0.0337</v>
      </c>
      <c r="L379" s="27" t="n">
        <v>16</v>
      </c>
      <c r="M379" s="27" t="n">
        <v>23125</v>
      </c>
      <c r="N379" s="30" t="n">
        <v>50.98</v>
      </c>
      <c r="O379" s="30" t="n">
        <v>11.16</v>
      </c>
      <c r="P379" s="29" t="n">
        <v>0.0103</v>
      </c>
      <c r="Q379" s="27" t="n">
        <v>572000</v>
      </c>
      <c r="R379" s="27" t="n">
        <v>151293</v>
      </c>
      <c r="S379" s="27" t="n">
        <v>93292</v>
      </c>
      <c r="T379" s="29" t="n">
        <v>0.594</v>
      </c>
      <c r="U379" s="29" t="n">
        <v>0.171</v>
      </c>
      <c r="V379" s="29" t="n">
        <v>0.878</v>
      </c>
      <c r="W379" s="28" t="n">
        <v>11.4</v>
      </c>
    </row>
    <row r="380" customFormat="false" ht="15" hidden="false" customHeight="false" outlineLevel="0" collapsed="false">
      <c r="A380" s="25" t="s">
        <v>612</v>
      </c>
      <c r="B380" s="25" t="s">
        <v>369</v>
      </c>
      <c r="C380" s="26" t="n">
        <v>46143</v>
      </c>
      <c r="D380" s="27" t="n">
        <v>6303</v>
      </c>
      <c r="E380" s="28" t="n">
        <v>683.7</v>
      </c>
      <c r="F380" s="29" t="n">
        <v>0.0778</v>
      </c>
      <c r="G380" s="29" t="n">
        <v>0.1675</v>
      </c>
      <c r="H380" s="30" t="n">
        <v>11.54</v>
      </c>
      <c r="I380" s="29" t="n">
        <v>0.0194</v>
      </c>
      <c r="J380" s="29" t="n">
        <v>0.0348</v>
      </c>
      <c r="K380" s="29" t="n">
        <v>0.0334</v>
      </c>
      <c r="L380" s="27" t="n">
        <v>16</v>
      </c>
      <c r="M380" s="27" t="n">
        <v>23146</v>
      </c>
      <c r="N380" s="30" t="n">
        <v>51.01</v>
      </c>
      <c r="O380" s="30" t="n">
        <v>10.85</v>
      </c>
      <c r="P380" s="29" t="n">
        <v>0.0097</v>
      </c>
      <c r="Q380" s="27" t="n">
        <v>572000</v>
      </c>
      <c r="R380" s="27" t="n">
        <v>167233</v>
      </c>
      <c r="S380" s="27" t="n">
        <v>110559</v>
      </c>
      <c r="T380" s="29" t="n">
        <v>0.635</v>
      </c>
      <c r="U380" s="29" t="n">
        <v>0.192</v>
      </c>
      <c r="V380" s="29" t="n">
        <v>0.885</v>
      </c>
      <c r="W380" s="28" t="n">
        <v>11.7</v>
      </c>
    </row>
    <row r="381" customFormat="false" ht="15" hidden="false" customHeight="false" outlineLevel="0" collapsed="false">
      <c r="A381" s="25" t="s">
        <v>613</v>
      </c>
      <c r="B381" s="25" t="s">
        <v>369</v>
      </c>
      <c r="C381" s="26" t="n">
        <v>46174</v>
      </c>
      <c r="D381" s="27" t="n">
        <v>7684</v>
      </c>
      <c r="E381" s="28" t="n">
        <v>710.7</v>
      </c>
      <c r="F381" s="29" t="n">
        <v>0.0728</v>
      </c>
      <c r="G381" s="29" t="n">
        <v>0.167</v>
      </c>
      <c r="H381" s="30" t="n">
        <v>12.05</v>
      </c>
      <c r="I381" s="29" t="n">
        <v>0.0209</v>
      </c>
      <c r="J381" s="29" t="n">
        <v>0.0335</v>
      </c>
      <c r="K381" s="29" t="n">
        <v>0.0361</v>
      </c>
      <c r="L381" s="27" t="n">
        <v>16</v>
      </c>
      <c r="M381" s="27" t="n">
        <v>23167</v>
      </c>
      <c r="N381" s="30" t="n">
        <v>50.2</v>
      </c>
      <c r="O381" s="30" t="n">
        <v>10.8</v>
      </c>
      <c r="P381" s="29" t="n">
        <v>0.0096</v>
      </c>
      <c r="Q381" s="27" t="n">
        <v>572000</v>
      </c>
      <c r="R381" s="27" t="n">
        <v>175059</v>
      </c>
      <c r="S381" s="27" t="n">
        <v>124992</v>
      </c>
      <c r="T381" s="29" t="n">
        <v>0.654</v>
      </c>
      <c r="U381" s="29" t="n">
        <v>0.211</v>
      </c>
      <c r="V381" s="29" t="n">
        <v>0.866</v>
      </c>
      <c r="W381" s="28" t="n">
        <v>11.8</v>
      </c>
    </row>
    <row r="382" customFormat="false" ht="15" hidden="false" customHeight="false" outlineLevel="0" collapsed="false">
      <c r="A382" s="25" t="s">
        <v>614</v>
      </c>
      <c r="B382" s="25" t="s">
        <v>369</v>
      </c>
      <c r="C382" s="26" t="n">
        <v>46204</v>
      </c>
      <c r="D382" s="27" t="n">
        <v>8633</v>
      </c>
      <c r="E382" s="28" t="n">
        <v>688.9</v>
      </c>
      <c r="F382" s="29" t="n">
        <v>0.0716</v>
      </c>
      <c r="G382" s="29" t="n">
        <v>0.1678</v>
      </c>
      <c r="H382" s="30" t="n">
        <v>11.77</v>
      </c>
      <c r="I382" s="29" t="n">
        <v>0.0216</v>
      </c>
      <c r="J382" s="29" t="n">
        <v>0.0334</v>
      </c>
      <c r="K382" s="29" t="n">
        <v>0.039</v>
      </c>
      <c r="L382" s="27" t="n">
        <v>16</v>
      </c>
      <c r="M382" s="27" t="n">
        <v>23188</v>
      </c>
      <c r="N382" s="30" t="n">
        <v>49.41</v>
      </c>
      <c r="O382" s="30" t="n">
        <v>11.05</v>
      </c>
      <c r="P382" s="29" t="n">
        <v>0.01</v>
      </c>
      <c r="Q382" s="27" t="n">
        <v>572000</v>
      </c>
      <c r="R382" s="27" t="n">
        <v>157588</v>
      </c>
      <c r="S382" s="27" t="n">
        <v>130882</v>
      </c>
      <c r="T382" s="29" t="n">
        <v>0.686</v>
      </c>
      <c r="U382" s="29" t="n">
        <v>0.172</v>
      </c>
      <c r="V382" s="29" t="n">
        <v>0.861</v>
      </c>
      <c r="W382" s="28" t="n">
        <v>12</v>
      </c>
    </row>
    <row r="383" customFormat="false" ht="15" hidden="false" customHeight="false" outlineLevel="0" collapsed="false">
      <c r="A383" s="25" t="s">
        <v>615</v>
      </c>
      <c r="B383" s="25" t="s">
        <v>369</v>
      </c>
      <c r="C383" s="26" t="n">
        <v>46235</v>
      </c>
      <c r="D383" s="27" t="n">
        <v>10906</v>
      </c>
      <c r="E383" s="28" t="n">
        <v>693.5</v>
      </c>
      <c r="F383" s="29" t="n">
        <v>0.0692</v>
      </c>
      <c r="G383" s="29" t="n">
        <v>0.1694</v>
      </c>
      <c r="H383" s="30" t="n">
        <v>11.21</v>
      </c>
      <c r="I383" s="29" t="n">
        <v>0.0194</v>
      </c>
      <c r="J383" s="29" t="n">
        <v>0.0323</v>
      </c>
      <c r="K383" s="29" t="n">
        <v>0.0337</v>
      </c>
      <c r="L383" s="27" t="n">
        <v>16</v>
      </c>
      <c r="M383" s="27" t="n">
        <v>23209</v>
      </c>
      <c r="N383" s="30" t="n">
        <v>48.74</v>
      </c>
      <c r="O383" s="30" t="n">
        <v>10.82</v>
      </c>
      <c r="P383" s="29" t="n">
        <v>0.0093</v>
      </c>
      <c r="Q383" s="27" t="n">
        <v>572000</v>
      </c>
      <c r="R383" s="27" t="n">
        <v>167879</v>
      </c>
      <c r="S383" s="27" t="n">
        <v>153422</v>
      </c>
      <c r="T383" s="29" t="n">
        <v>0.703</v>
      </c>
      <c r="U383" s="29" t="n">
        <v>0.21</v>
      </c>
      <c r="V383" s="29" t="n">
        <v>0.883</v>
      </c>
      <c r="W383" s="28" t="n">
        <v>12.2</v>
      </c>
    </row>
    <row r="384" customFormat="false" ht="15" hidden="false" customHeight="false" outlineLevel="0" collapsed="false">
      <c r="A384" s="25" t="s">
        <v>616</v>
      </c>
      <c r="B384" s="25" t="s">
        <v>369</v>
      </c>
      <c r="C384" s="26" t="n">
        <v>46266</v>
      </c>
      <c r="D384" s="27" t="n">
        <v>11772</v>
      </c>
      <c r="E384" s="28" t="n">
        <v>685.2</v>
      </c>
      <c r="F384" s="29" t="n">
        <v>0.0679</v>
      </c>
      <c r="G384" s="29" t="n">
        <v>0.1696</v>
      </c>
      <c r="H384" s="30" t="n">
        <v>10.99</v>
      </c>
      <c r="I384" s="29" t="n">
        <v>0.0214</v>
      </c>
      <c r="J384" s="29" t="n">
        <v>0.0313</v>
      </c>
      <c r="K384" s="29" t="n">
        <v>0.0398</v>
      </c>
      <c r="L384" s="27" t="n">
        <v>16</v>
      </c>
      <c r="M384" s="27" t="n">
        <v>23230</v>
      </c>
      <c r="N384" s="30" t="n">
        <v>48.55</v>
      </c>
      <c r="O384" s="30" t="n">
        <v>10.65</v>
      </c>
      <c r="P384" s="29" t="n">
        <v>0.0101</v>
      </c>
      <c r="Q384" s="27" t="n">
        <v>572000</v>
      </c>
      <c r="R384" s="27" t="n">
        <v>164274</v>
      </c>
      <c r="S384" s="27" t="n">
        <v>148346</v>
      </c>
      <c r="T384" s="29" t="n">
        <v>0.677</v>
      </c>
      <c r="U384" s="29" t="n">
        <v>0.204</v>
      </c>
      <c r="V384" s="29" t="n">
        <v>0.861</v>
      </c>
      <c r="W384" s="28" t="n">
        <v>11.5</v>
      </c>
    </row>
    <row r="385" customFormat="false" ht="15" hidden="false" customHeight="false" outlineLevel="0" collapsed="false">
      <c r="A385" s="25" t="s">
        <v>617</v>
      </c>
      <c r="B385" s="25" t="s">
        <v>371</v>
      </c>
      <c r="C385" s="26" t="n">
        <v>45931</v>
      </c>
      <c r="D385" s="27" t="n">
        <v>9103</v>
      </c>
      <c r="E385" s="28" t="n">
        <v>663.3</v>
      </c>
      <c r="F385" s="29" t="n">
        <v>0.0764</v>
      </c>
      <c r="G385" s="29" t="n">
        <v>0.1679</v>
      </c>
      <c r="H385" s="30" t="n">
        <v>12.58</v>
      </c>
      <c r="I385" s="29" t="n">
        <v>0.0209</v>
      </c>
      <c r="J385" s="29" t="n">
        <v>0.0285</v>
      </c>
      <c r="K385" s="29" t="n">
        <v>0.0246</v>
      </c>
      <c r="L385" s="27" t="n">
        <v>16</v>
      </c>
      <c r="M385" s="27" t="n">
        <v>23000</v>
      </c>
      <c r="N385" s="30" t="n">
        <v>49.8</v>
      </c>
      <c r="O385" s="30" t="n">
        <v>10.68</v>
      </c>
      <c r="P385" s="29" t="n">
        <v>0.0101</v>
      </c>
      <c r="Q385" s="27" t="n">
        <v>1430000</v>
      </c>
      <c r="R385" s="27" t="n">
        <v>196253</v>
      </c>
      <c r="S385" s="27" t="n">
        <v>160192</v>
      </c>
      <c r="T385" s="29" t="n">
        <v>0.624</v>
      </c>
      <c r="U385" s="29" t="n">
        <v>0.374</v>
      </c>
      <c r="V385" s="29" t="n">
        <v>0.896</v>
      </c>
      <c r="W385" s="28" t="n">
        <v>11.5</v>
      </c>
    </row>
    <row r="386" customFormat="false" ht="15" hidden="false" customHeight="false" outlineLevel="0" collapsed="false">
      <c r="A386" s="25" t="s">
        <v>618</v>
      </c>
      <c r="B386" s="25" t="s">
        <v>371</v>
      </c>
      <c r="C386" s="26" t="n">
        <v>45962</v>
      </c>
      <c r="D386" s="27" t="n">
        <v>10711</v>
      </c>
      <c r="E386" s="28" t="n">
        <v>687.5</v>
      </c>
      <c r="F386" s="29" t="n">
        <v>0.07</v>
      </c>
      <c r="G386" s="29" t="n">
        <v>0.1685</v>
      </c>
      <c r="H386" s="30" t="n">
        <v>13.32</v>
      </c>
      <c r="I386" s="29" t="n">
        <v>0.0197</v>
      </c>
      <c r="J386" s="29" t="n">
        <v>0.0268</v>
      </c>
      <c r="K386" s="29" t="n">
        <v>0.0294</v>
      </c>
      <c r="L386" s="27" t="n">
        <v>16</v>
      </c>
      <c r="M386" s="27" t="n">
        <v>23021</v>
      </c>
      <c r="N386" s="30" t="n">
        <v>49.78</v>
      </c>
      <c r="O386" s="30" t="n">
        <v>10.66</v>
      </c>
      <c r="P386" s="29" t="n">
        <v>0.0102</v>
      </c>
      <c r="Q386" s="27" t="n">
        <v>1430000</v>
      </c>
      <c r="R386" s="27" t="n">
        <v>180603</v>
      </c>
      <c r="S386" s="27" t="n">
        <v>171354</v>
      </c>
      <c r="T386" s="29" t="n">
        <v>0.638</v>
      </c>
      <c r="U386" s="29" t="n">
        <v>0.369</v>
      </c>
      <c r="V386" s="29" t="n">
        <v>0.875</v>
      </c>
      <c r="W386" s="28" t="n">
        <v>11.8</v>
      </c>
    </row>
    <row r="387" customFormat="false" ht="15" hidden="false" customHeight="false" outlineLevel="0" collapsed="false">
      <c r="A387" s="25" t="s">
        <v>619</v>
      </c>
      <c r="B387" s="25" t="s">
        <v>371</v>
      </c>
      <c r="C387" s="26" t="n">
        <v>45992</v>
      </c>
      <c r="D387" s="27" t="n">
        <v>12209</v>
      </c>
      <c r="E387" s="28" t="n">
        <v>676.6</v>
      </c>
      <c r="F387" s="29" t="n">
        <v>0.0702</v>
      </c>
      <c r="G387" s="29" t="n">
        <v>0.1655</v>
      </c>
      <c r="H387" s="30" t="n">
        <v>13.55</v>
      </c>
      <c r="I387" s="29" t="n">
        <v>0.0202</v>
      </c>
      <c r="J387" s="29" t="n">
        <v>0.0283</v>
      </c>
      <c r="K387" s="29" t="n">
        <v>0.0229</v>
      </c>
      <c r="L387" s="27" t="n">
        <v>16</v>
      </c>
      <c r="M387" s="27" t="n">
        <v>23042</v>
      </c>
      <c r="N387" s="30" t="n">
        <v>49.43</v>
      </c>
      <c r="O387" s="30" t="n">
        <v>11.08</v>
      </c>
      <c r="P387" s="29" t="n">
        <v>0.0097</v>
      </c>
      <c r="Q387" s="27" t="n">
        <v>1430000</v>
      </c>
      <c r="R387" s="27" t="n">
        <v>197064</v>
      </c>
      <c r="S387" s="27" t="n">
        <v>174673</v>
      </c>
      <c r="T387" s="29" t="n">
        <v>0.682</v>
      </c>
      <c r="U387" s="29" t="n">
        <v>0.354</v>
      </c>
      <c r="V387" s="29" t="n">
        <v>0.878</v>
      </c>
      <c r="W387" s="28" t="n">
        <v>11.7</v>
      </c>
    </row>
    <row r="388" customFormat="false" ht="15" hidden="false" customHeight="false" outlineLevel="0" collapsed="false">
      <c r="A388" s="25" t="s">
        <v>620</v>
      </c>
      <c r="B388" s="25" t="s">
        <v>371</v>
      </c>
      <c r="C388" s="26" t="n">
        <v>46023</v>
      </c>
      <c r="D388" s="27" t="n">
        <v>14645</v>
      </c>
      <c r="E388" s="28" t="n">
        <v>677</v>
      </c>
      <c r="F388" s="29" t="n">
        <v>0.0686</v>
      </c>
      <c r="G388" s="29" t="n">
        <v>0.1692</v>
      </c>
      <c r="H388" s="30" t="n">
        <v>13.55</v>
      </c>
      <c r="I388" s="29" t="n">
        <v>0.0211</v>
      </c>
      <c r="J388" s="29" t="n">
        <v>0.0249</v>
      </c>
      <c r="K388" s="29" t="n">
        <v>0.0214</v>
      </c>
      <c r="L388" s="27" t="n">
        <v>16</v>
      </c>
      <c r="M388" s="27" t="n">
        <v>23063</v>
      </c>
      <c r="N388" s="30" t="n">
        <v>48.03</v>
      </c>
      <c r="O388" s="30" t="n">
        <v>11.09</v>
      </c>
      <c r="P388" s="29" t="n">
        <v>0.0103</v>
      </c>
      <c r="Q388" s="27" t="n">
        <v>1430000</v>
      </c>
      <c r="R388" s="27" t="n">
        <v>186482</v>
      </c>
      <c r="S388" s="27" t="n">
        <v>200216</v>
      </c>
      <c r="T388" s="29" t="n">
        <v>0.683</v>
      </c>
      <c r="U388" s="29" t="n">
        <v>0.362</v>
      </c>
      <c r="V388" s="29" t="n">
        <v>0.894</v>
      </c>
      <c r="W388" s="28" t="n">
        <v>11.9</v>
      </c>
    </row>
    <row r="389" customFormat="false" ht="15" hidden="false" customHeight="false" outlineLevel="0" collapsed="false">
      <c r="A389" s="25" t="s">
        <v>621</v>
      </c>
      <c r="B389" s="25" t="s">
        <v>371</v>
      </c>
      <c r="C389" s="26" t="n">
        <v>46054</v>
      </c>
      <c r="D389" s="27" t="n">
        <v>14482</v>
      </c>
      <c r="E389" s="28" t="n">
        <v>686.3</v>
      </c>
      <c r="F389" s="29" t="n">
        <v>0.0624</v>
      </c>
      <c r="G389" s="29" t="n">
        <v>0.1702</v>
      </c>
      <c r="H389" s="30" t="n">
        <v>13.32</v>
      </c>
      <c r="I389" s="29" t="n">
        <v>0.0201</v>
      </c>
      <c r="J389" s="29" t="n">
        <v>0.0252</v>
      </c>
      <c r="K389" s="29" t="n">
        <v>0.0209</v>
      </c>
      <c r="L389" s="27" t="n">
        <v>16</v>
      </c>
      <c r="M389" s="27" t="n">
        <v>23084</v>
      </c>
      <c r="N389" s="30" t="n">
        <v>46.67</v>
      </c>
      <c r="O389" s="30" t="n">
        <v>10.79</v>
      </c>
      <c r="P389" s="29" t="n">
        <v>0.0104</v>
      </c>
      <c r="Q389" s="27" t="n">
        <v>1430000</v>
      </c>
      <c r="R389" s="27" t="n">
        <v>189097</v>
      </c>
      <c r="S389" s="27" t="n">
        <v>177352</v>
      </c>
      <c r="T389" s="29" t="n">
        <v>0.693</v>
      </c>
      <c r="U389" s="29" t="n">
        <v>0.378</v>
      </c>
      <c r="V389" s="29" t="n">
        <v>0.91</v>
      </c>
      <c r="W389" s="28" t="n">
        <v>11.4</v>
      </c>
    </row>
    <row r="390" customFormat="false" ht="15" hidden="false" customHeight="false" outlineLevel="0" collapsed="false">
      <c r="A390" s="25" t="s">
        <v>622</v>
      </c>
      <c r="B390" s="25" t="s">
        <v>371</v>
      </c>
      <c r="C390" s="26" t="n">
        <v>46082</v>
      </c>
      <c r="D390" s="27" t="n">
        <v>19245</v>
      </c>
      <c r="E390" s="28" t="n">
        <v>697.9</v>
      </c>
      <c r="F390" s="29" t="n">
        <v>0.0586</v>
      </c>
      <c r="G390" s="29" t="n">
        <v>0.1674</v>
      </c>
      <c r="H390" s="30" t="n">
        <v>13.25</v>
      </c>
      <c r="I390" s="29" t="n">
        <v>0.0234</v>
      </c>
      <c r="J390" s="29" t="n">
        <v>0.0224</v>
      </c>
      <c r="K390" s="29" t="n">
        <v>0.0202</v>
      </c>
      <c r="L390" s="27" t="n">
        <v>16</v>
      </c>
      <c r="M390" s="27" t="n">
        <v>23105</v>
      </c>
      <c r="N390" s="30" t="n">
        <v>45.41</v>
      </c>
      <c r="O390" s="30" t="n">
        <v>10.57</v>
      </c>
      <c r="P390" s="29" t="n">
        <v>0.0097</v>
      </c>
      <c r="Q390" s="27" t="n">
        <v>1430000</v>
      </c>
      <c r="R390" s="27" t="n">
        <v>192822</v>
      </c>
      <c r="S390" s="27" t="n">
        <v>234116</v>
      </c>
      <c r="T390" s="29" t="n">
        <v>0.711</v>
      </c>
      <c r="U390" s="29" t="n">
        <v>0.356</v>
      </c>
      <c r="V390" s="29" t="n">
        <v>0.897</v>
      </c>
      <c r="W390" s="28" t="n">
        <v>11.7</v>
      </c>
    </row>
    <row r="391" customFormat="false" ht="15" hidden="false" customHeight="false" outlineLevel="0" collapsed="false">
      <c r="A391" s="25" t="s">
        <v>623</v>
      </c>
      <c r="B391" s="25" t="s">
        <v>371</v>
      </c>
      <c r="C391" s="26" t="n">
        <v>46113</v>
      </c>
      <c r="D391" s="27" t="n">
        <v>19368</v>
      </c>
      <c r="E391" s="28" t="n">
        <v>676.5</v>
      </c>
      <c r="F391" s="29" t="n">
        <v>0.0632</v>
      </c>
      <c r="G391" s="29" t="n">
        <v>0.1707</v>
      </c>
      <c r="H391" s="30" t="n">
        <v>13.68</v>
      </c>
      <c r="I391" s="29" t="n">
        <v>0.0247</v>
      </c>
      <c r="J391" s="29" t="n">
        <v>0.0207</v>
      </c>
      <c r="K391" s="29" t="n">
        <v>0.0203</v>
      </c>
      <c r="L391" s="27" t="n">
        <v>16</v>
      </c>
      <c r="M391" s="27" t="n">
        <v>23125</v>
      </c>
      <c r="N391" s="30" t="n">
        <v>45.94</v>
      </c>
      <c r="O391" s="30" t="n">
        <v>10.9</v>
      </c>
      <c r="P391" s="29" t="n">
        <v>0.0095</v>
      </c>
      <c r="Q391" s="27" t="n">
        <v>1430000</v>
      </c>
      <c r="R391" s="27" t="n">
        <v>190557</v>
      </c>
      <c r="S391" s="27" t="n">
        <v>199205</v>
      </c>
      <c r="T391" s="29" t="n">
        <v>0.733</v>
      </c>
      <c r="U391" s="29" t="n">
        <v>0.34</v>
      </c>
      <c r="V391" s="29" t="n">
        <v>0.872</v>
      </c>
      <c r="W391" s="28" t="n">
        <v>12</v>
      </c>
    </row>
    <row r="392" customFormat="false" ht="15" hidden="false" customHeight="false" outlineLevel="0" collapsed="false">
      <c r="A392" s="25" t="s">
        <v>624</v>
      </c>
      <c r="B392" s="25" t="s">
        <v>371</v>
      </c>
      <c r="C392" s="26" t="n">
        <v>46143</v>
      </c>
      <c r="D392" s="27" t="n">
        <v>22409</v>
      </c>
      <c r="E392" s="28" t="n">
        <v>686.8</v>
      </c>
      <c r="F392" s="29" t="n">
        <v>0.0581</v>
      </c>
      <c r="G392" s="29" t="n">
        <v>0.1669</v>
      </c>
      <c r="H392" s="30" t="n">
        <v>13.66</v>
      </c>
      <c r="I392" s="29" t="n">
        <v>0.0252</v>
      </c>
      <c r="J392" s="29" t="n">
        <v>0.0198</v>
      </c>
      <c r="K392" s="29" t="n">
        <v>0.0218</v>
      </c>
      <c r="L392" s="27" t="n">
        <v>17</v>
      </c>
      <c r="M392" s="27" t="n">
        <v>23146</v>
      </c>
      <c r="N392" s="30" t="n">
        <v>43.82</v>
      </c>
      <c r="O392" s="30" t="n">
        <v>10.52</v>
      </c>
      <c r="P392" s="29" t="n">
        <v>0.0101</v>
      </c>
      <c r="Q392" s="27" t="n">
        <v>1430000</v>
      </c>
      <c r="R392" s="27" t="n">
        <v>195752</v>
      </c>
      <c r="S392" s="27" t="n">
        <v>221777</v>
      </c>
      <c r="T392" s="29" t="n">
        <v>0.756</v>
      </c>
      <c r="U392" s="29" t="n">
        <v>0.348</v>
      </c>
      <c r="V392" s="29" t="n">
        <v>0.9</v>
      </c>
      <c r="W392" s="28" t="n">
        <v>11.7</v>
      </c>
    </row>
    <row r="393" customFormat="false" ht="15" hidden="false" customHeight="false" outlineLevel="0" collapsed="false">
      <c r="A393" s="25" t="s">
        <v>625</v>
      </c>
      <c r="B393" s="25" t="s">
        <v>371</v>
      </c>
      <c r="C393" s="26" t="n">
        <v>46174</v>
      </c>
      <c r="D393" s="27" t="n">
        <v>21371</v>
      </c>
      <c r="E393" s="28" t="n">
        <v>661.2</v>
      </c>
      <c r="F393" s="29" t="n">
        <v>0.0581</v>
      </c>
      <c r="G393" s="29" t="n">
        <v>0.1674</v>
      </c>
      <c r="H393" s="30" t="n">
        <v>13.92</v>
      </c>
      <c r="I393" s="29" t="n">
        <v>0.0255</v>
      </c>
      <c r="J393" s="29" t="n">
        <v>0.0204</v>
      </c>
      <c r="K393" s="29" t="n">
        <v>0.027</v>
      </c>
      <c r="L393" s="27" t="n">
        <v>16</v>
      </c>
      <c r="M393" s="27" t="n">
        <v>23167</v>
      </c>
      <c r="N393" s="30" t="n">
        <v>44.92</v>
      </c>
      <c r="O393" s="30" t="n">
        <v>11.01</v>
      </c>
      <c r="P393" s="29" t="n">
        <v>0.0103</v>
      </c>
      <c r="Q393" s="27" t="n">
        <v>1430000</v>
      </c>
      <c r="R393" s="27" t="n">
        <v>185910</v>
      </c>
      <c r="S393" s="27" t="n">
        <v>183790</v>
      </c>
      <c r="T393" s="29" t="n">
        <v>0.773</v>
      </c>
      <c r="U393" s="29" t="n">
        <v>0.365</v>
      </c>
      <c r="V393" s="29" t="n">
        <v>0.9</v>
      </c>
      <c r="W393" s="28" t="n">
        <v>11.3</v>
      </c>
    </row>
    <row r="394" customFormat="false" ht="15" hidden="false" customHeight="false" outlineLevel="0" collapsed="false">
      <c r="A394" s="25" t="s">
        <v>626</v>
      </c>
      <c r="B394" s="25" t="s">
        <v>371</v>
      </c>
      <c r="C394" s="26" t="n">
        <v>46204</v>
      </c>
      <c r="D394" s="27" t="n">
        <v>23788</v>
      </c>
      <c r="E394" s="28" t="n">
        <v>677.6</v>
      </c>
      <c r="F394" s="29" t="n">
        <v>0.0556</v>
      </c>
      <c r="G394" s="29" t="n">
        <v>0.1669</v>
      </c>
      <c r="H394" s="30" t="n">
        <v>12.81</v>
      </c>
      <c r="I394" s="29" t="n">
        <v>0.0255</v>
      </c>
      <c r="J394" s="29" t="n">
        <v>0.019</v>
      </c>
      <c r="K394" s="29" t="n">
        <v>0.0215</v>
      </c>
      <c r="L394" s="27" t="n">
        <v>16</v>
      </c>
      <c r="M394" s="27" t="n">
        <v>23188</v>
      </c>
      <c r="N394" s="30" t="n">
        <v>44.51</v>
      </c>
      <c r="O394" s="30" t="n">
        <v>10.49</v>
      </c>
      <c r="P394" s="29" t="n">
        <v>0.0096</v>
      </c>
      <c r="Q394" s="27" t="n">
        <v>1430000</v>
      </c>
      <c r="R394" s="27" t="n">
        <v>191080</v>
      </c>
      <c r="S394" s="27" t="n">
        <v>209404</v>
      </c>
      <c r="T394" s="29" t="n">
        <v>0.744</v>
      </c>
      <c r="U394" s="29" t="n">
        <v>0.36</v>
      </c>
      <c r="V394" s="29" t="n">
        <v>0.895</v>
      </c>
      <c r="W394" s="28" t="n">
        <v>11.7</v>
      </c>
    </row>
    <row r="395" customFormat="false" ht="15" hidden="false" customHeight="false" outlineLevel="0" collapsed="false">
      <c r="A395" s="25" t="s">
        <v>627</v>
      </c>
      <c r="B395" s="25" t="s">
        <v>371</v>
      </c>
      <c r="C395" s="26" t="n">
        <v>46235</v>
      </c>
      <c r="D395" s="27" t="n">
        <v>26074</v>
      </c>
      <c r="E395" s="28" t="n">
        <v>663.3</v>
      </c>
      <c r="F395" s="29" t="n">
        <v>0.0532</v>
      </c>
      <c r="G395" s="29" t="n">
        <v>0.1696</v>
      </c>
      <c r="H395" s="30" t="n">
        <v>13.1</v>
      </c>
      <c r="I395" s="29" t="n">
        <v>0.027</v>
      </c>
      <c r="J395" s="29" t="n">
        <v>0.0189</v>
      </c>
      <c r="K395" s="29" t="n">
        <v>0.0228</v>
      </c>
      <c r="L395" s="27" t="n">
        <v>18</v>
      </c>
      <c r="M395" s="27" t="n">
        <v>23209</v>
      </c>
      <c r="N395" s="30" t="n">
        <v>43.34</v>
      </c>
      <c r="O395" s="30" t="n">
        <v>10.89</v>
      </c>
      <c r="P395" s="29" t="n">
        <v>0.01</v>
      </c>
      <c r="Q395" s="27" t="n">
        <v>1430000</v>
      </c>
      <c r="R395" s="27" t="n">
        <v>185785</v>
      </c>
      <c r="S395" s="27" t="n">
        <v>219665</v>
      </c>
      <c r="T395" s="29" t="n">
        <v>0.74</v>
      </c>
      <c r="U395" s="29" t="n">
        <v>0.359</v>
      </c>
      <c r="V395" s="29" t="n">
        <v>0.895</v>
      </c>
      <c r="W395" s="28" t="n">
        <v>11.3</v>
      </c>
    </row>
    <row r="396" customFormat="false" ht="15" hidden="false" customHeight="false" outlineLevel="0" collapsed="false">
      <c r="A396" s="25" t="s">
        <v>628</v>
      </c>
      <c r="B396" s="25" t="s">
        <v>371</v>
      </c>
      <c r="C396" s="26" t="n">
        <v>46266</v>
      </c>
      <c r="D396" s="27" t="n">
        <v>25772</v>
      </c>
      <c r="E396" s="28" t="n">
        <v>668.4</v>
      </c>
      <c r="F396" s="29" t="n">
        <v>0.0557</v>
      </c>
      <c r="G396" s="29" t="n">
        <v>0.1716</v>
      </c>
      <c r="H396" s="30" t="n">
        <v>13.62</v>
      </c>
      <c r="I396" s="29" t="n">
        <v>0.0267</v>
      </c>
      <c r="J396" s="29" t="n">
        <v>0.0168</v>
      </c>
      <c r="K396" s="29" t="n">
        <v>0.0253</v>
      </c>
      <c r="L396" s="27" t="n">
        <v>17</v>
      </c>
      <c r="M396" s="27" t="n">
        <v>23230</v>
      </c>
      <c r="N396" s="30" t="n">
        <v>42.5</v>
      </c>
      <c r="O396" s="30" t="n">
        <v>10.74</v>
      </c>
      <c r="P396" s="29" t="n">
        <v>0.0098</v>
      </c>
      <c r="Q396" s="27" t="n">
        <v>1430000</v>
      </c>
      <c r="R396" s="27" t="n">
        <v>182759</v>
      </c>
      <c r="S396" s="27" t="n">
        <v>216042</v>
      </c>
      <c r="T396" s="29" t="n">
        <v>0.762</v>
      </c>
      <c r="U396" s="29" t="n">
        <v>0.34</v>
      </c>
      <c r="V396" s="29" t="n">
        <v>0.898</v>
      </c>
      <c r="W396" s="28" t="n">
        <v>10.1</v>
      </c>
    </row>
    <row r="397" customFormat="false" ht="15" hidden="false" customHeight="false" outlineLevel="0" collapsed="false">
      <c r="A397" s="25" t="s">
        <v>629</v>
      </c>
      <c r="B397" s="25" t="s">
        <v>373</v>
      </c>
      <c r="C397" s="26" t="n">
        <v>45931</v>
      </c>
      <c r="D397" s="27" t="n">
        <v>20025</v>
      </c>
      <c r="E397" s="28" t="n">
        <v>725</v>
      </c>
      <c r="F397" s="29" t="n">
        <v>0.0805</v>
      </c>
      <c r="G397" s="29" t="n">
        <v>0.1685</v>
      </c>
      <c r="H397" s="30" t="n">
        <v>11.71</v>
      </c>
      <c r="I397" s="29" t="n">
        <v>0.0248</v>
      </c>
      <c r="J397" s="29" t="n">
        <v>0.0241</v>
      </c>
      <c r="K397" s="29" t="n">
        <v>0.0295</v>
      </c>
      <c r="L397" s="27" t="n">
        <v>17</v>
      </c>
      <c r="M397" s="27" t="n">
        <v>23000</v>
      </c>
      <c r="N397" s="30" t="n">
        <v>48.1</v>
      </c>
      <c r="O397" s="30" t="n">
        <v>10.9</v>
      </c>
      <c r="P397" s="29" t="n">
        <v>0.0098</v>
      </c>
      <c r="Q397" s="27" t="n">
        <v>841500</v>
      </c>
      <c r="R397" s="27" t="n">
        <v>175983</v>
      </c>
      <c r="S397" s="27" t="n">
        <v>285126</v>
      </c>
      <c r="T397" s="29" t="n">
        <v>0.568</v>
      </c>
      <c r="U397" s="29" t="n">
        <v>0.219</v>
      </c>
      <c r="V397" s="29" t="n">
        <v>0.888</v>
      </c>
      <c r="W397" s="28" t="n">
        <v>12</v>
      </c>
    </row>
    <row r="398" customFormat="false" ht="15" hidden="false" customHeight="false" outlineLevel="0" collapsed="false">
      <c r="A398" s="25" t="s">
        <v>630</v>
      </c>
      <c r="B398" s="25" t="s">
        <v>373</v>
      </c>
      <c r="C398" s="26" t="n">
        <v>45962</v>
      </c>
      <c r="D398" s="27" t="n">
        <v>21170</v>
      </c>
      <c r="E398" s="28" t="n">
        <v>746</v>
      </c>
      <c r="F398" s="29" t="n">
        <v>0.0789</v>
      </c>
      <c r="G398" s="29" t="n">
        <v>0.1683</v>
      </c>
      <c r="H398" s="30" t="n">
        <v>11.62</v>
      </c>
      <c r="I398" s="29" t="n">
        <v>0.0246</v>
      </c>
      <c r="J398" s="29" t="n">
        <v>0.0241</v>
      </c>
      <c r="K398" s="29" t="n">
        <v>0.029</v>
      </c>
      <c r="L398" s="27" t="n">
        <v>21</v>
      </c>
      <c r="M398" s="27" t="n">
        <v>23021</v>
      </c>
      <c r="N398" s="30" t="n">
        <v>47.25</v>
      </c>
      <c r="O398" s="30" t="n">
        <v>10.94</v>
      </c>
      <c r="P398" s="29" t="n">
        <v>0.01</v>
      </c>
      <c r="Q398" s="27" t="n">
        <v>841500</v>
      </c>
      <c r="R398" s="27" t="n">
        <v>178494</v>
      </c>
      <c r="S398" s="27" t="n">
        <v>276519</v>
      </c>
      <c r="T398" s="29" t="n">
        <v>0.585</v>
      </c>
      <c r="U398" s="29" t="n">
        <v>0.224</v>
      </c>
      <c r="V398" s="29" t="n">
        <v>0.896</v>
      </c>
      <c r="W398" s="28" t="n">
        <v>11.9</v>
      </c>
    </row>
    <row r="399" customFormat="false" ht="15" hidden="false" customHeight="false" outlineLevel="0" collapsed="false">
      <c r="A399" s="25" t="s">
        <v>631</v>
      </c>
      <c r="B399" s="25" t="s">
        <v>373</v>
      </c>
      <c r="C399" s="26" t="n">
        <v>45992</v>
      </c>
      <c r="D399" s="27" t="n">
        <v>23695</v>
      </c>
      <c r="E399" s="28" t="n">
        <v>722.3</v>
      </c>
      <c r="F399" s="29" t="n">
        <v>0.08</v>
      </c>
      <c r="G399" s="29" t="n">
        <v>0.1694</v>
      </c>
      <c r="H399" s="30" t="n">
        <v>11.84</v>
      </c>
      <c r="I399" s="29" t="n">
        <v>0.0243</v>
      </c>
      <c r="J399" s="29" t="n">
        <v>0.0237</v>
      </c>
      <c r="K399" s="29" t="n">
        <v>0.0339</v>
      </c>
      <c r="L399" s="27" t="n">
        <v>21</v>
      </c>
      <c r="M399" s="27" t="n">
        <v>23042</v>
      </c>
      <c r="N399" s="30" t="n">
        <v>46.11</v>
      </c>
      <c r="O399" s="30" t="n">
        <v>10.67</v>
      </c>
      <c r="P399" s="29" t="n">
        <v>0.0097</v>
      </c>
      <c r="Q399" s="27" t="n">
        <v>841500</v>
      </c>
      <c r="R399" s="27" t="n">
        <v>174670</v>
      </c>
      <c r="S399" s="27" t="n">
        <v>284391</v>
      </c>
      <c r="T399" s="29" t="n">
        <v>0.596</v>
      </c>
      <c r="U399" s="29" t="n">
        <v>0.228</v>
      </c>
      <c r="V399" s="29" t="n">
        <v>0.88</v>
      </c>
      <c r="W399" s="28" t="n">
        <v>11.9</v>
      </c>
    </row>
    <row r="400" customFormat="false" ht="15" hidden="false" customHeight="false" outlineLevel="0" collapsed="false">
      <c r="A400" s="25" t="s">
        <v>632</v>
      </c>
      <c r="B400" s="25" t="s">
        <v>373</v>
      </c>
      <c r="C400" s="26" t="n">
        <v>46023</v>
      </c>
      <c r="D400" s="27" t="n">
        <v>26022</v>
      </c>
      <c r="E400" s="28" t="n">
        <v>691.8</v>
      </c>
      <c r="F400" s="29" t="n">
        <v>0.0757</v>
      </c>
      <c r="G400" s="29" t="n">
        <v>0.1671</v>
      </c>
      <c r="H400" s="30" t="n">
        <v>11.91</v>
      </c>
      <c r="I400" s="29" t="n">
        <v>0.0252</v>
      </c>
      <c r="J400" s="29" t="n">
        <v>0.0217</v>
      </c>
      <c r="K400" s="29" t="n">
        <v>0.0338</v>
      </c>
      <c r="L400" s="27" t="n">
        <v>24</v>
      </c>
      <c r="M400" s="27" t="n">
        <v>23063</v>
      </c>
      <c r="N400" s="30" t="n">
        <v>46.17</v>
      </c>
      <c r="O400" s="30" t="n">
        <v>10.77</v>
      </c>
      <c r="P400" s="29" t="n">
        <v>0.0094</v>
      </c>
      <c r="Q400" s="27" t="n">
        <v>841500</v>
      </c>
      <c r="R400" s="27" t="n">
        <v>168409</v>
      </c>
      <c r="S400" s="27" t="n">
        <v>279545</v>
      </c>
      <c r="T400" s="29" t="n">
        <v>0.611</v>
      </c>
      <c r="U400" s="29" t="n">
        <v>0.227</v>
      </c>
      <c r="V400" s="29" t="n">
        <v>0.882</v>
      </c>
      <c r="W400" s="28" t="n">
        <v>11.6</v>
      </c>
    </row>
    <row r="401" customFormat="false" ht="15" hidden="false" customHeight="false" outlineLevel="0" collapsed="false">
      <c r="A401" s="25" t="s">
        <v>633</v>
      </c>
      <c r="B401" s="25" t="s">
        <v>373</v>
      </c>
      <c r="C401" s="26" t="n">
        <v>46054</v>
      </c>
      <c r="D401" s="27" t="n">
        <v>23655</v>
      </c>
      <c r="E401" s="28" t="n">
        <v>724.9</v>
      </c>
      <c r="F401" s="29" t="n">
        <v>0.0765</v>
      </c>
      <c r="G401" s="29" t="n">
        <v>0.1674</v>
      </c>
      <c r="H401" s="30" t="n">
        <v>11.42</v>
      </c>
      <c r="I401" s="29" t="n">
        <v>0.0258</v>
      </c>
      <c r="J401" s="29" t="n">
        <v>0.0204</v>
      </c>
      <c r="K401" s="29" t="n">
        <v>0.0342</v>
      </c>
      <c r="L401" s="27" t="n">
        <v>26</v>
      </c>
      <c r="M401" s="27" t="n">
        <v>23084</v>
      </c>
      <c r="N401" s="30" t="n">
        <v>45.53</v>
      </c>
      <c r="O401" s="30" t="n">
        <v>10.64</v>
      </c>
      <c r="P401" s="29" t="n">
        <v>0.0102</v>
      </c>
      <c r="Q401" s="27" t="n">
        <v>841500</v>
      </c>
      <c r="R401" s="27" t="n">
        <v>175393</v>
      </c>
      <c r="S401" s="27" t="n">
        <v>246782</v>
      </c>
      <c r="T401" s="29" t="n">
        <v>0.626</v>
      </c>
      <c r="U401" s="29" t="n">
        <v>0.212</v>
      </c>
      <c r="V401" s="29" t="n">
        <v>0.863</v>
      </c>
      <c r="W401" s="28" t="n">
        <v>12.1</v>
      </c>
    </row>
    <row r="402" customFormat="false" ht="15" hidden="false" customHeight="false" outlineLevel="0" collapsed="false">
      <c r="A402" s="25" t="s">
        <v>634</v>
      </c>
      <c r="B402" s="25" t="s">
        <v>373</v>
      </c>
      <c r="C402" s="26" t="n">
        <v>46082</v>
      </c>
      <c r="D402" s="27" t="n">
        <v>26719</v>
      </c>
      <c r="E402" s="28" t="n">
        <v>730.3</v>
      </c>
      <c r="F402" s="29" t="n">
        <v>0.072</v>
      </c>
      <c r="G402" s="29" t="n">
        <v>0.1663</v>
      </c>
      <c r="H402" s="30" t="n">
        <v>11.91</v>
      </c>
      <c r="I402" s="29" t="n">
        <v>0.0267</v>
      </c>
      <c r="J402" s="29" t="n">
        <v>0.0213</v>
      </c>
      <c r="K402" s="29" t="n">
        <v>0.0321</v>
      </c>
      <c r="L402" s="27" t="n">
        <v>25</v>
      </c>
      <c r="M402" s="27" t="n">
        <v>23105</v>
      </c>
      <c r="N402" s="30" t="n">
        <v>45.37</v>
      </c>
      <c r="O402" s="30" t="n">
        <v>11.24</v>
      </c>
      <c r="P402" s="29" t="n">
        <v>0.0098</v>
      </c>
      <c r="Q402" s="27" t="n">
        <v>841500</v>
      </c>
      <c r="R402" s="27" t="n">
        <v>168417</v>
      </c>
      <c r="S402" s="27" t="n">
        <v>252133</v>
      </c>
      <c r="T402" s="29" t="n">
        <v>0.632</v>
      </c>
      <c r="U402" s="29" t="n">
        <v>0.218</v>
      </c>
      <c r="V402" s="29" t="n">
        <v>0.884</v>
      </c>
      <c r="W402" s="28" t="n">
        <v>11.5</v>
      </c>
    </row>
    <row r="403" customFormat="false" ht="15" hidden="false" customHeight="false" outlineLevel="0" collapsed="false">
      <c r="A403" s="25" t="s">
        <v>635</v>
      </c>
      <c r="B403" s="25" t="s">
        <v>373</v>
      </c>
      <c r="C403" s="26" t="n">
        <v>46113</v>
      </c>
      <c r="D403" s="27" t="n">
        <v>28310</v>
      </c>
      <c r="E403" s="28" t="n">
        <v>707.7</v>
      </c>
      <c r="F403" s="29" t="n">
        <v>0.0741</v>
      </c>
      <c r="G403" s="29" t="n">
        <v>0.1675</v>
      </c>
      <c r="H403" s="30" t="n">
        <v>11.44</v>
      </c>
      <c r="I403" s="29" t="n">
        <v>0.0256</v>
      </c>
      <c r="J403" s="29" t="n">
        <v>0.0204</v>
      </c>
      <c r="K403" s="29" t="n">
        <v>0.0279</v>
      </c>
      <c r="L403" s="27" t="n">
        <v>27</v>
      </c>
      <c r="M403" s="27" t="n">
        <v>23125</v>
      </c>
      <c r="N403" s="30" t="n">
        <v>43.96</v>
      </c>
      <c r="O403" s="30" t="n">
        <v>11.06</v>
      </c>
      <c r="P403" s="29" t="n">
        <v>0.0105</v>
      </c>
      <c r="Q403" s="27" t="n">
        <v>841500</v>
      </c>
      <c r="R403" s="27" t="n">
        <v>179339</v>
      </c>
      <c r="S403" s="27" t="n">
        <v>263122</v>
      </c>
      <c r="T403" s="29" t="n">
        <v>0.666</v>
      </c>
      <c r="U403" s="29" t="n">
        <v>0.227</v>
      </c>
      <c r="V403" s="29" t="n">
        <v>0.876</v>
      </c>
      <c r="W403" s="28" t="n">
        <v>11.8</v>
      </c>
    </row>
    <row r="404" customFormat="false" ht="15" hidden="false" customHeight="false" outlineLevel="0" collapsed="false">
      <c r="A404" s="25" t="s">
        <v>636</v>
      </c>
      <c r="B404" s="25" t="s">
        <v>373</v>
      </c>
      <c r="C404" s="26" t="n">
        <v>46143</v>
      </c>
      <c r="D404" s="27" t="n">
        <v>30547</v>
      </c>
      <c r="E404" s="28" t="n">
        <v>722.2</v>
      </c>
      <c r="F404" s="29" t="n">
        <v>0.071</v>
      </c>
      <c r="G404" s="29" t="n">
        <v>0.1702</v>
      </c>
      <c r="H404" s="30" t="n">
        <v>12.48</v>
      </c>
      <c r="I404" s="29" t="n">
        <v>0.0255</v>
      </c>
      <c r="J404" s="29" t="n">
        <v>0.0194</v>
      </c>
      <c r="K404" s="29" t="n">
        <v>0.0295</v>
      </c>
      <c r="L404" s="27" t="n">
        <v>28</v>
      </c>
      <c r="M404" s="27" t="n">
        <v>23146</v>
      </c>
      <c r="N404" s="30" t="n">
        <v>43.94</v>
      </c>
      <c r="O404" s="30" t="n">
        <v>10.8</v>
      </c>
      <c r="P404" s="29" t="n">
        <v>0.0099</v>
      </c>
      <c r="Q404" s="27" t="n">
        <v>841500</v>
      </c>
      <c r="R404" s="27" t="n">
        <v>169858</v>
      </c>
      <c r="S404" s="27" t="n">
        <v>261821</v>
      </c>
      <c r="T404" s="29" t="n">
        <v>0.646</v>
      </c>
      <c r="U404" s="29" t="n">
        <v>0.209</v>
      </c>
      <c r="V404" s="29" t="n">
        <v>0.885</v>
      </c>
      <c r="W404" s="28" t="n">
        <v>11.6</v>
      </c>
    </row>
    <row r="405" customFormat="false" ht="15" hidden="false" customHeight="false" outlineLevel="0" collapsed="false">
      <c r="A405" s="25" t="s">
        <v>637</v>
      </c>
      <c r="B405" s="25" t="s">
        <v>373</v>
      </c>
      <c r="C405" s="26" t="n">
        <v>46174</v>
      </c>
      <c r="D405" s="27" t="n">
        <v>33867</v>
      </c>
      <c r="E405" s="28" t="n">
        <v>702.3</v>
      </c>
      <c r="F405" s="29" t="n">
        <v>0.0754</v>
      </c>
      <c r="G405" s="29" t="n">
        <v>0.167</v>
      </c>
      <c r="H405" s="30" t="n">
        <v>12.13</v>
      </c>
      <c r="I405" s="29" t="n">
        <v>0.029</v>
      </c>
      <c r="J405" s="29" t="n">
        <v>0.0206</v>
      </c>
      <c r="K405" s="29" t="n">
        <v>0.0347</v>
      </c>
      <c r="L405" s="27" t="n">
        <v>31</v>
      </c>
      <c r="M405" s="27" t="n">
        <v>23167</v>
      </c>
      <c r="N405" s="30" t="n">
        <v>43.81</v>
      </c>
      <c r="O405" s="30" t="n">
        <v>11.24</v>
      </c>
      <c r="P405" s="29" t="n">
        <v>0.0104</v>
      </c>
      <c r="Q405" s="27" t="n">
        <v>841500</v>
      </c>
      <c r="R405" s="27" t="n">
        <v>184436</v>
      </c>
      <c r="S405" s="27" t="n">
        <v>250465</v>
      </c>
      <c r="T405" s="29" t="n">
        <v>0.662</v>
      </c>
      <c r="U405" s="29" t="n">
        <v>0.23</v>
      </c>
      <c r="V405" s="29" t="n">
        <v>0.864</v>
      </c>
      <c r="W405" s="28" t="n">
        <v>12.2</v>
      </c>
    </row>
    <row r="406" customFormat="false" ht="15" hidden="false" customHeight="false" outlineLevel="0" collapsed="false">
      <c r="A406" s="25" t="s">
        <v>638</v>
      </c>
      <c r="B406" s="25" t="s">
        <v>373</v>
      </c>
      <c r="C406" s="26" t="n">
        <v>46204</v>
      </c>
      <c r="D406" s="27" t="n">
        <v>31804</v>
      </c>
      <c r="E406" s="28" t="n">
        <v>720.8</v>
      </c>
      <c r="F406" s="29" t="n">
        <v>0.0708</v>
      </c>
      <c r="G406" s="29" t="n">
        <v>0.1681</v>
      </c>
      <c r="H406" s="30" t="n">
        <v>11.54</v>
      </c>
      <c r="I406" s="29" t="n">
        <v>0.0296</v>
      </c>
      <c r="J406" s="29" t="n">
        <v>0.0202</v>
      </c>
      <c r="K406" s="29" t="n">
        <v>0.0335</v>
      </c>
      <c r="L406" s="27" t="n">
        <v>27</v>
      </c>
      <c r="M406" s="27" t="n">
        <v>23188</v>
      </c>
      <c r="N406" s="30" t="n">
        <v>43.7</v>
      </c>
      <c r="O406" s="30" t="n">
        <v>10.99</v>
      </c>
      <c r="P406" s="29" t="n">
        <v>0.0099</v>
      </c>
      <c r="Q406" s="27" t="n">
        <v>841500</v>
      </c>
      <c r="R406" s="27" t="n">
        <v>173108</v>
      </c>
      <c r="S406" s="27" t="n">
        <v>227803</v>
      </c>
      <c r="T406" s="29" t="n">
        <v>0.676</v>
      </c>
      <c r="U406" s="29" t="n">
        <v>0.228</v>
      </c>
      <c r="V406" s="29" t="n">
        <v>0.882</v>
      </c>
      <c r="W406" s="28" t="n">
        <v>11.5</v>
      </c>
    </row>
    <row r="407" customFormat="false" ht="15" hidden="false" customHeight="false" outlineLevel="0" collapsed="false">
      <c r="A407" s="25" t="s">
        <v>639</v>
      </c>
      <c r="B407" s="25" t="s">
        <v>373</v>
      </c>
      <c r="C407" s="26" t="n">
        <v>46235</v>
      </c>
      <c r="D407" s="27" t="n">
        <v>35288</v>
      </c>
      <c r="E407" s="28" t="n">
        <v>702.4</v>
      </c>
      <c r="F407" s="29" t="n">
        <v>0.0681</v>
      </c>
      <c r="G407" s="29" t="n">
        <v>0.1672</v>
      </c>
      <c r="H407" s="30" t="n">
        <v>11.93</v>
      </c>
      <c r="I407" s="29" t="n">
        <v>0.0294</v>
      </c>
      <c r="J407" s="29" t="n">
        <v>0.0212</v>
      </c>
      <c r="K407" s="29" t="n">
        <v>0.0294</v>
      </c>
      <c r="L407" s="27" t="n">
        <v>33</v>
      </c>
      <c r="M407" s="27" t="n">
        <v>23209</v>
      </c>
      <c r="N407" s="30" t="n">
        <v>43.33</v>
      </c>
      <c r="O407" s="30" t="n">
        <v>10.85</v>
      </c>
      <c r="P407" s="29" t="n">
        <v>0.0098</v>
      </c>
      <c r="Q407" s="27" t="n">
        <v>841500</v>
      </c>
      <c r="R407" s="27" t="n">
        <v>166204</v>
      </c>
      <c r="S407" s="27" t="n">
        <v>249605</v>
      </c>
      <c r="T407" s="29" t="n">
        <v>0.662</v>
      </c>
      <c r="U407" s="29" t="n">
        <v>0.243</v>
      </c>
      <c r="V407" s="29" t="n">
        <v>0.885</v>
      </c>
      <c r="W407" s="28" t="n">
        <v>11.9</v>
      </c>
    </row>
    <row r="408" customFormat="false" ht="15" hidden="false" customHeight="false" outlineLevel="0" collapsed="false">
      <c r="A408" s="25" t="s">
        <v>640</v>
      </c>
      <c r="B408" s="25" t="s">
        <v>373</v>
      </c>
      <c r="C408" s="26" t="n">
        <v>46266</v>
      </c>
      <c r="D408" s="27" t="n">
        <v>36848</v>
      </c>
      <c r="E408" s="28" t="n">
        <v>723.5</v>
      </c>
      <c r="F408" s="29" t="n">
        <v>0.0678</v>
      </c>
      <c r="G408" s="29" t="n">
        <v>0.1689</v>
      </c>
      <c r="H408" s="30" t="n">
        <v>11.8</v>
      </c>
      <c r="I408" s="29" t="n">
        <v>0.0309</v>
      </c>
      <c r="J408" s="29" t="n">
        <v>0.0198</v>
      </c>
      <c r="K408" s="29" t="n">
        <v>0.027</v>
      </c>
      <c r="L408" s="27" t="n">
        <v>35</v>
      </c>
      <c r="M408" s="27" t="n">
        <v>23230</v>
      </c>
      <c r="N408" s="30" t="n">
        <v>44.13</v>
      </c>
      <c r="O408" s="30" t="n">
        <v>10.94</v>
      </c>
      <c r="P408" s="29" t="n">
        <v>0.0098</v>
      </c>
      <c r="Q408" s="27" t="n">
        <v>841500</v>
      </c>
      <c r="R408" s="27" t="n">
        <v>173768</v>
      </c>
      <c r="S408" s="27" t="n">
        <v>270613</v>
      </c>
      <c r="T408" s="29" t="n">
        <v>0.676</v>
      </c>
      <c r="U408" s="29" t="n">
        <v>0.216</v>
      </c>
      <c r="V408" s="29" t="n">
        <v>0.893</v>
      </c>
      <c r="W408" s="28" t="n">
        <v>12</v>
      </c>
    </row>
    <row r="409" customFormat="false" ht="15" hidden="false" customHeight="false" outlineLevel="0" collapsed="false">
      <c r="A409" s="25" t="s">
        <v>641</v>
      </c>
      <c r="B409" s="25" t="s">
        <v>375</v>
      </c>
      <c r="C409" s="26" t="n">
        <v>45931</v>
      </c>
      <c r="D409" s="27" t="n">
        <v>26227</v>
      </c>
      <c r="E409" s="28" t="n">
        <v>687.1</v>
      </c>
      <c r="F409" s="29" t="n">
        <v>0.0506</v>
      </c>
      <c r="G409" s="29" t="n">
        <v>0.165</v>
      </c>
      <c r="H409" s="30" t="n">
        <v>12.19</v>
      </c>
      <c r="I409" s="29" t="n">
        <v>0.0269</v>
      </c>
      <c r="J409" s="29" t="n">
        <v>0.0222</v>
      </c>
      <c r="K409" s="29" t="n">
        <v>0.0375</v>
      </c>
      <c r="L409" s="27" t="n">
        <v>21</v>
      </c>
      <c r="M409" s="27" t="n">
        <v>23000</v>
      </c>
      <c r="N409" s="30" t="n">
        <v>37.71</v>
      </c>
      <c r="O409" s="30" t="n">
        <v>11.25</v>
      </c>
      <c r="P409" s="29" t="n">
        <v>0.0102</v>
      </c>
      <c r="Q409" s="27" t="n">
        <v>660000</v>
      </c>
      <c r="R409" s="27" t="n">
        <v>142336</v>
      </c>
      <c r="S409" s="27" t="n">
        <v>121069</v>
      </c>
      <c r="T409" s="29" t="n">
        <v>0.813</v>
      </c>
      <c r="U409" s="29" t="n">
        <v>0.257</v>
      </c>
      <c r="V409" s="29" t="n">
        <v>0.861</v>
      </c>
      <c r="W409" s="28" t="n">
        <v>11.9</v>
      </c>
    </row>
    <row r="410" customFormat="false" ht="15" hidden="false" customHeight="false" outlineLevel="0" collapsed="false">
      <c r="A410" s="25" t="s">
        <v>642</v>
      </c>
      <c r="B410" s="25" t="s">
        <v>375</v>
      </c>
      <c r="C410" s="26" t="n">
        <v>45962</v>
      </c>
      <c r="D410" s="27" t="n">
        <v>24100</v>
      </c>
      <c r="E410" s="28" t="n">
        <v>719.3</v>
      </c>
      <c r="F410" s="29" t="n">
        <v>0.0514</v>
      </c>
      <c r="G410" s="29" t="n">
        <v>0.1659</v>
      </c>
      <c r="H410" s="30" t="n">
        <v>12.74</v>
      </c>
      <c r="I410" s="29" t="n">
        <v>0.0249</v>
      </c>
      <c r="J410" s="29" t="n">
        <v>0.0247</v>
      </c>
      <c r="K410" s="29" t="n">
        <v>0.0309</v>
      </c>
      <c r="L410" s="27" t="n">
        <v>19</v>
      </c>
      <c r="M410" s="27" t="n">
        <v>23021</v>
      </c>
      <c r="N410" s="30" t="n">
        <v>39.25</v>
      </c>
      <c r="O410" s="30" t="n">
        <v>10.94</v>
      </c>
      <c r="P410" s="29" t="n">
        <v>0.0098</v>
      </c>
      <c r="Q410" s="27" t="n">
        <v>660000</v>
      </c>
      <c r="R410" s="27" t="n">
        <v>139326</v>
      </c>
      <c r="S410" s="27" t="n">
        <v>119916</v>
      </c>
      <c r="T410" s="29" t="n">
        <v>0.833</v>
      </c>
      <c r="U410" s="29" t="n">
        <v>0.267</v>
      </c>
      <c r="V410" s="29" t="n">
        <v>0.879</v>
      </c>
      <c r="W410" s="28" t="n">
        <v>12.2</v>
      </c>
    </row>
    <row r="411" customFormat="false" ht="15" hidden="false" customHeight="false" outlineLevel="0" collapsed="false">
      <c r="A411" s="25" t="s">
        <v>643</v>
      </c>
      <c r="B411" s="25" t="s">
        <v>375</v>
      </c>
      <c r="C411" s="26" t="n">
        <v>45992</v>
      </c>
      <c r="D411" s="27" t="n">
        <v>24481</v>
      </c>
      <c r="E411" s="28" t="n">
        <v>682.9</v>
      </c>
      <c r="F411" s="29" t="n">
        <v>0.0514</v>
      </c>
      <c r="G411" s="29" t="n">
        <v>0.1642</v>
      </c>
      <c r="H411" s="30" t="n">
        <v>12.23</v>
      </c>
      <c r="I411" s="29" t="n">
        <v>0.0254</v>
      </c>
      <c r="J411" s="29" t="n">
        <v>0.0244</v>
      </c>
      <c r="K411" s="29" t="n">
        <v>0.0376</v>
      </c>
      <c r="L411" s="27" t="n">
        <v>19</v>
      </c>
      <c r="M411" s="27" t="n">
        <v>23042</v>
      </c>
      <c r="N411" s="30" t="n">
        <v>39.23</v>
      </c>
      <c r="O411" s="30" t="n">
        <v>10.88</v>
      </c>
      <c r="P411" s="29" t="n">
        <v>0.0107</v>
      </c>
      <c r="Q411" s="27" t="n">
        <v>660000</v>
      </c>
      <c r="R411" s="27" t="n">
        <v>131365</v>
      </c>
      <c r="S411" s="27" t="n">
        <v>109879</v>
      </c>
      <c r="T411" s="29" t="n">
        <v>0.844</v>
      </c>
      <c r="U411" s="29" t="n">
        <v>0.277</v>
      </c>
      <c r="V411" s="29" t="n">
        <v>0.867</v>
      </c>
      <c r="W411" s="28" t="n">
        <v>12.1</v>
      </c>
    </row>
    <row r="412" customFormat="false" ht="15" hidden="false" customHeight="false" outlineLevel="0" collapsed="false">
      <c r="A412" s="25" t="s">
        <v>644</v>
      </c>
      <c r="B412" s="25" t="s">
        <v>375</v>
      </c>
      <c r="C412" s="26" t="n">
        <v>46023</v>
      </c>
      <c r="D412" s="27" t="n">
        <v>23890</v>
      </c>
      <c r="E412" s="28" t="n">
        <v>723.4</v>
      </c>
      <c r="F412" s="29" t="n">
        <v>0.0559</v>
      </c>
      <c r="G412" s="29" t="n">
        <v>0.1638</v>
      </c>
      <c r="H412" s="30" t="n">
        <v>12.57</v>
      </c>
      <c r="I412" s="29" t="n">
        <v>0.0265</v>
      </c>
      <c r="J412" s="29" t="n">
        <v>0.0246</v>
      </c>
      <c r="K412" s="29" t="n">
        <v>0.0331</v>
      </c>
      <c r="L412" s="27" t="n">
        <v>19</v>
      </c>
      <c r="M412" s="27" t="n">
        <v>23063</v>
      </c>
      <c r="N412" s="30" t="n">
        <v>39.61</v>
      </c>
      <c r="O412" s="30" t="n">
        <v>10.71</v>
      </c>
      <c r="P412" s="29" t="n">
        <v>0.0101</v>
      </c>
      <c r="Q412" s="27" t="n">
        <v>660000</v>
      </c>
      <c r="R412" s="27" t="n">
        <v>139883</v>
      </c>
      <c r="S412" s="27" t="n">
        <v>118326</v>
      </c>
      <c r="T412" s="29" t="n">
        <v>0.826</v>
      </c>
      <c r="U412" s="29" t="n">
        <v>0.263</v>
      </c>
      <c r="V412" s="29" t="n">
        <v>0.874</v>
      </c>
      <c r="W412" s="28" t="n">
        <v>11.3</v>
      </c>
    </row>
    <row r="413" customFormat="false" ht="15" hidden="false" customHeight="false" outlineLevel="0" collapsed="false">
      <c r="A413" s="25" t="s">
        <v>645</v>
      </c>
      <c r="B413" s="25" t="s">
        <v>375</v>
      </c>
      <c r="C413" s="26" t="n">
        <v>46054</v>
      </c>
      <c r="D413" s="27" t="n">
        <v>22526</v>
      </c>
      <c r="E413" s="28" t="n">
        <v>696.8</v>
      </c>
      <c r="F413" s="29" t="n">
        <v>0.0537</v>
      </c>
      <c r="G413" s="29" t="n">
        <v>0.1654</v>
      </c>
      <c r="H413" s="30" t="n">
        <v>11.72</v>
      </c>
      <c r="I413" s="29" t="n">
        <v>0.0261</v>
      </c>
      <c r="J413" s="29" t="n">
        <v>0.0243</v>
      </c>
      <c r="K413" s="29" t="n">
        <v>0.0279</v>
      </c>
      <c r="L413" s="27" t="n">
        <v>18</v>
      </c>
      <c r="M413" s="27" t="n">
        <v>23084</v>
      </c>
      <c r="N413" s="30" t="n">
        <v>39.36</v>
      </c>
      <c r="O413" s="30" t="n">
        <v>10.71</v>
      </c>
      <c r="P413" s="29" t="n">
        <v>0.0096</v>
      </c>
      <c r="Q413" s="27" t="n">
        <v>660000</v>
      </c>
      <c r="R413" s="27" t="n">
        <v>136475</v>
      </c>
      <c r="S413" s="27" t="n">
        <v>104432</v>
      </c>
      <c r="T413" s="29" t="n">
        <v>0.816</v>
      </c>
      <c r="U413" s="29" t="n">
        <v>0.262</v>
      </c>
      <c r="V413" s="29" t="n">
        <v>0.89</v>
      </c>
      <c r="W413" s="28" t="n">
        <v>11.9</v>
      </c>
    </row>
    <row r="414" customFormat="false" ht="15" hidden="false" customHeight="false" outlineLevel="0" collapsed="false">
      <c r="A414" s="25" t="s">
        <v>646</v>
      </c>
      <c r="B414" s="25" t="s">
        <v>375</v>
      </c>
      <c r="C414" s="26" t="n">
        <v>46082</v>
      </c>
      <c r="D414" s="27" t="n">
        <v>24687</v>
      </c>
      <c r="E414" s="28" t="n">
        <v>678.4</v>
      </c>
      <c r="F414" s="29" t="n">
        <v>0.0514</v>
      </c>
      <c r="G414" s="29" t="n">
        <v>0.1644</v>
      </c>
      <c r="H414" s="30" t="n">
        <v>11.51</v>
      </c>
      <c r="I414" s="29" t="n">
        <v>0.0257</v>
      </c>
      <c r="J414" s="29" t="n">
        <v>0.0239</v>
      </c>
      <c r="K414" s="29" t="n">
        <v>0.036</v>
      </c>
      <c r="L414" s="27" t="n">
        <v>19</v>
      </c>
      <c r="M414" s="27" t="n">
        <v>23105</v>
      </c>
      <c r="N414" s="30" t="n">
        <v>39.15</v>
      </c>
      <c r="O414" s="30" t="n">
        <v>11.05</v>
      </c>
      <c r="P414" s="29" t="n">
        <v>0.0101</v>
      </c>
      <c r="Q414" s="27" t="n">
        <v>660000</v>
      </c>
      <c r="R414" s="27" t="n">
        <v>144065</v>
      </c>
      <c r="S414" s="27" t="n">
        <v>100659</v>
      </c>
      <c r="T414" s="29" t="n">
        <v>0.818</v>
      </c>
      <c r="U414" s="29" t="n">
        <v>0.271</v>
      </c>
      <c r="V414" s="29" t="n">
        <v>0.866</v>
      </c>
      <c r="W414" s="28" t="n">
        <v>12.3</v>
      </c>
    </row>
    <row r="415" customFormat="false" ht="15" hidden="false" customHeight="false" outlineLevel="0" collapsed="false">
      <c r="A415" s="25" t="s">
        <v>647</v>
      </c>
      <c r="B415" s="25" t="s">
        <v>375</v>
      </c>
      <c r="C415" s="26" t="n">
        <v>46113</v>
      </c>
      <c r="D415" s="27" t="n">
        <v>26338</v>
      </c>
      <c r="E415" s="28" t="n">
        <v>702</v>
      </c>
      <c r="F415" s="29" t="n">
        <v>0.0505</v>
      </c>
      <c r="G415" s="29" t="n">
        <v>0.1684</v>
      </c>
      <c r="H415" s="30" t="n">
        <v>12.02</v>
      </c>
      <c r="I415" s="29" t="n">
        <v>0.0264</v>
      </c>
      <c r="J415" s="29" t="n">
        <v>0.0225</v>
      </c>
      <c r="K415" s="29" t="n">
        <v>0.0304</v>
      </c>
      <c r="L415" s="27" t="n">
        <v>20</v>
      </c>
      <c r="M415" s="27" t="n">
        <v>23125</v>
      </c>
      <c r="N415" s="30" t="n">
        <v>38.79</v>
      </c>
      <c r="O415" s="30" t="n">
        <v>10.82</v>
      </c>
      <c r="P415" s="29" t="n">
        <v>0.0099</v>
      </c>
      <c r="Q415" s="27" t="n">
        <v>660000</v>
      </c>
      <c r="R415" s="27" t="n">
        <v>128609</v>
      </c>
      <c r="S415" s="27" t="n">
        <v>112839</v>
      </c>
      <c r="T415" s="29" t="n">
        <v>0.845</v>
      </c>
      <c r="U415" s="29" t="n">
        <v>0.284</v>
      </c>
      <c r="V415" s="29" t="n">
        <v>0.881</v>
      </c>
      <c r="W415" s="28" t="n">
        <v>11.5</v>
      </c>
    </row>
    <row r="416" customFormat="false" ht="15" hidden="false" customHeight="false" outlineLevel="0" collapsed="false">
      <c r="A416" s="25" t="s">
        <v>648</v>
      </c>
      <c r="B416" s="25" t="s">
        <v>375</v>
      </c>
      <c r="C416" s="26" t="n">
        <v>46143</v>
      </c>
      <c r="D416" s="27" t="n">
        <v>27139</v>
      </c>
      <c r="E416" s="28" t="n">
        <v>706.9</v>
      </c>
      <c r="F416" s="29" t="n">
        <v>0.0545</v>
      </c>
      <c r="G416" s="29" t="n">
        <v>0.1654</v>
      </c>
      <c r="H416" s="30" t="n">
        <v>12.91</v>
      </c>
      <c r="I416" s="29" t="n">
        <v>0.027</v>
      </c>
      <c r="J416" s="29" t="n">
        <v>0.0234</v>
      </c>
      <c r="K416" s="29" t="n">
        <v>0.0453</v>
      </c>
      <c r="L416" s="27" t="n">
        <v>21</v>
      </c>
      <c r="M416" s="27" t="n">
        <v>23146</v>
      </c>
      <c r="N416" s="30" t="n">
        <v>39.1</v>
      </c>
      <c r="O416" s="30" t="n">
        <v>10.87</v>
      </c>
      <c r="P416" s="29" t="n">
        <v>0.0098</v>
      </c>
      <c r="Q416" s="27" t="n">
        <v>660000</v>
      </c>
      <c r="R416" s="27" t="n">
        <v>140758</v>
      </c>
      <c r="S416" s="27" t="n">
        <v>106458</v>
      </c>
      <c r="T416" s="29" t="n">
        <v>0.844</v>
      </c>
      <c r="U416" s="29" t="n">
        <v>0.259</v>
      </c>
      <c r="V416" s="29" t="n">
        <v>0.87</v>
      </c>
      <c r="W416" s="28" t="n">
        <v>11.6</v>
      </c>
    </row>
    <row r="417" customFormat="false" ht="15" hidden="false" customHeight="false" outlineLevel="0" collapsed="false">
      <c r="A417" s="25" t="s">
        <v>649</v>
      </c>
      <c r="B417" s="25" t="s">
        <v>375</v>
      </c>
      <c r="C417" s="26" t="n">
        <v>46174</v>
      </c>
      <c r="D417" s="27" t="n">
        <v>26111</v>
      </c>
      <c r="E417" s="28" t="n">
        <v>695.1</v>
      </c>
      <c r="F417" s="29" t="n">
        <v>0.0541</v>
      </c>
      <c r="G417" s="29" t="n">
        <v>0.164</v>
      </c>
      <c r="H417" s="30" t="n">
        <v>12.27</v>
      </c>
      <c r="I417" s="29" t="n">
        <v>0.0261</v>
      </c>
      <c r="J417" s="29" t="n">
        <v>0.0221</v>
      </c>
      <c r="K417" s="29" t="n">
        <v>0.0358</v>
      </c>
      <c r="L417" s="27" t="n">
        <v>21</v>
      </c>
      <c r="M417" s="27" t="n">
        <v>23167</v>
      </c>
      <c r="N417" s="30" t="n">
        <v>38.61</v>
      </c>
      <c r="O417" s="30" t="n">
        <v>10.73</v>
      </c>
      <c r="P417" s="29" t="n">
        <v>0.0108</v>
      </c>
      <c r="Q417" s="27" t="n">
        <v>660000</v>
      </c>
      <c r="R417" s="27" t="n">
        <v>136909</v>
      </c>
      <c r="S417" s="27" t="n">
        <v>112626</v>
      </c>
      <c r="T417" s="29" t="n">
        <v>0.819</v>
      </c>
      <c r="U417" s="29" t="n">
        <v>0.25</v>
      </c>
      <c r="V417" s="29" t="n">
        <v>0.897</v>
      </c>
      <c r="W417" s="28" t="n">
        <v>11.5</v>
      </c>
    </row>
    <row r="418" customFormat="false" ht="15" hidden="false" customHeight="false" outlineLevel="0" collapsed="false">
      <c r="A418" s="25" t="s">
        <v>650</v>
      </c>
      <c r="B418" s="25" t="s">
        <v>375</v>
      </c>
      <c r="C418" s="26" t="n">
        <v>46204</v>
      </c>
      <c r="D418" s="27" t="n">
        <v>26035</v>
      </c>
      <c r="E418" s="28" t="n">
        <v>702.9</v>
      </c>
      <c r="F418" s="29" t="n">
        <v>0.053</v>
      </c>
      <c r="G418" s="29" t="n">
        <v>0.1651</v>
      </c>
      <c r="H418" s="30" t="n">
        <v>12.05</v>
      </c>
      <c r="I418" s="29" t="n">
        <v>0.0285</v>
      </c>
      <c r="J418" s="29" t="n">
        <v>0.0232</v>
      </c>
      <c r="K418" s="29" t="n">
        <v>0.0354</v>
      </c>
      <c r="L418" s="27" t="n">
        <v>21</v>
      </c>
      <c r="M418" s="27" t="n">
        <v>23188</v>
      </c>
      <c r="N418" s="30" t="n">
        <v>38.98</v>
      </c>
      <c r="O418" s="30" t="n">
        <v>10.87</v>
      </c>
      <c r="P418" s="29" t="n">
        <v>0.0101</v>
      </c>
      <c r="Q418" s="27" t="n">
        <v>660000</v>
      </c>
      <c r="R418" s="27" t="n">
        <v>135830</v>
      </c>
      <c r="S418" s="27" t="n">
        <v>138751</v>
      </c>
      <c r="T418" s="29" t="n">
        <v>0.85</v>
      </c>
      <c r="U418" s="29" t="n">
        <v>0.259</v>
      </c>
      <c r="V418" s="29" t="n">
        <v>0.878</v>
      </c>
      <c r="W418" s="28" t="n">
        <v>11.8</v>
      </c>
    </row>
    <row r="419" customFormat="false" ht="15" hidden="false" customHeight="false" outlineLevel="0" collapsed="false">
      <c r="A419" s="25" t="s">
        <v>651</v>
      </c>
      <c r="B419" s="25" t="s">
        <v>375</v>
      </c>
      <c r="C419" s="26" t="n">
        <v>46235</v>
      </c>
      <c r="D419" s="27" t="n">
        <v>26213</v>
      </c>
      <c r="E419" s="28" t="n">
        <v>707.9</v>
      </c>
      <c r="F419" s="29" t="n">
        <v>0.0497</v>
      </c>
      <c r="G419" s="29" t="n">
        <v>0.1656</v>
      </c>
      <c r="H419" s="30" t="n">
        <v>12.02</v>
      </c>
      <c r="I419" s="29" t="n">
        <v>0.026</v>
      </c>
      <c r="J419" s="29" t="n">
        <v>0.0221</v>
      </c>
      <c r="K419" s="29" t="n">
        <v>0.0393</v>
      </c>
      <c r="L419" s="27" t="n">
        <v>20</v>
      </c>
      <c r="M419" s="27" t="n">
        <v>23209</v>
      </c>
      <c r="N419" s="30" t="n">
        <v>39.02</v>
      </c>
      <c r="O419" s="30" t="n">
        <v>10.95</v>
      </c>
      <c r="P419" s="29" t="n">
        <v>0.0102</v>
      </c>
      <c r="Q419" s="27" t="n">
        <v>660000</v>
      </c>
      <c r="R419" s="27" t="n">
        <v>145794</v>
      </c>
      <c r="S419" s="27" t="n">
        <v>117938</v>
      </c>
      <c r="T419" s="29" t="n">
        <v>0.819</v>
      </c>
      <c r="U419" s="29" t="n">
        <v>0.258</v>
      </c>
      <c r="V419" s="29" t="n">
        <v>0.867</v>
      </c>
      <c r="W419" s="28" t="n">
        <v>12.2</v>
      </c>
    </row>
    <row r="420" customFormat="false" ht="15" hidden="false" customHeight="false" outlineLevel="0" collapsed="false">
      <c r="A420" s="25" t="s">
        <v>652</v>
      </c>
      <c r="B420" s="25" t="s">
        <v>375</v>
      </c>
      <c r="C420" s="26" t="n">
        <v>46266</v>
      </c>
      <c r="D420" s="27" t="n">
        <v>27552</v>
      </c>
      <c r="E420" s="28" t="n">
        <v>699.2</v>
      </c>
      <c r="F420" s="29" t="n">
        <v>0.0509</v>
      </c>
      <c r="G420" s="29" t="n">
        <v>0.1652</v>
      </c>
      <c r="H420" s="30" t="n">
        <v>12.47</v>
      </c>
      <c r="I420" s="29" t="n">
        <v>0.0268</v>
      </c>
      <c r="J420" s="29" t="n">
        <v>0.0218</v>
      </c>
      <c r="K420" s="29" t="n">
        <v>0.0378</v>
      </c>
      <c r="L420" s="27" t="n">
        <v>22</v>
      </c>
      <c r="M420" s="27" t="n">
        <v>23230</v>
      </c>
      <c r="N420" s="30" t="n">
        <v>37.75</v>
      </c>
      <c r="O420" s="30" t="n">
        <v>10.7</v>
      </c>
      <c r="P420" s="29" t="n">
        <v>0.0096</v>
      </c>
      <c r="Q420" s="27" t="n">
        <v>660000</v>
      </c>
      <c r="R420" s="27" t="n">
        <v>133753</v>
      </c>
      <c r="S420" s="27" t="n">
        <v>131589</v>
      </c>
      <c r="T420" s="29" t="n">
        <v>0.831</v>
      </c>
      <c r="U420" s="29" t="n">
        <v>0.252</v>
      </c>
      <c r="V420" s="29" t="n">
        <v>0.877</v>
      </c>
      <c r="W420" s="28" t="n">
        <v>12.6</v>
      </c>
    </row>
    <row r="421" customFormat="false" ht="15" hidden="false" customHeight="false" outlineLevel="0" collapsed="false">
      <c r="A421" s="25" t="s">
        <v>653</v>
      </c>
      <c r="B421" s="25" t="s">
        <v>374</v>
      </c>
      <c r="C421" s="26" t="n">
        <v>45931</v>
      </c>
      <c r="D421" s="27" t="n">
        <v>23028</v>
      </c>
      <c r="E421" s="28" t="n">
        <v>709.3</v>
      </c>
      <c r="F421" s="29" t="n">
        <v>0.0646</v>
      </c>
      <c r="G421" s="29" t="n">
        <v>0.1678</v>
      </c>
      <c r="H421" s="30" t="n">
        <v>13.09</v>
      </c>
      <c r="I421" s="29" t="n">
        <v>0.0255</v>
      </c>
      <c r="J421" s="29" t="n">
        <v>0.0239</v>
      </c>
      <c r="K421" s="29" t="n">
        <v>0.0291</v>
      </c>
      <c r="L421" s="27" t="n">
        <v>20</v>
      </c>
      <c r="M421" s="27" t="n">
        <v>23000</v>
      </c>
      <c r="N421" s="30" t="n">
        <v>45.59</v>
      </c>
      <c r="O421" s="30" t="n">
        <v>10.75</v>
      </c>
      <c r="P421" s="29" t="n">
        <v>0.0101</v>
      </c>
      <c r="Q421" s="27" t="n">
        <v>1336500</v>
      </c>
      <c r="R421" s="27" t="n">
        <v>196989</v>
      </c>
      <c r="S421" s="27" t="n">
        <v>158662</v>
      </c>
      <c r="T421" s="29" t="n">
        <v>0.772</v>
      </c>
      <c r="U421" s="29" t="n">
        <v>0.334</v>
      </c>
      <c r="V421" s="29" t="n">
        <v>0.889</v>
      </c>
      <c r="W421" s="28" t="n">
        <v>11.6</v>
      </c>
    </row>
    <row r="422" customFormat="false" ht="15" hidden="false" customHeight="false" outlineLevel="0" collapsed="false">
      <c r="A422" s="25" t="s">
        <v>654</v>
      </c>
      <c r="B422" s="25" t="s">
        <v>374</v>
      </c>
      <c r="C422" s="26" t="n">
        <v>45962</v>
      </c>
      <c r="D422" s="27" t="n">
        <v>22833</v>
      </c>
      <c r="E422" s="28" t="n">
        <v>703.5</v>
      </c>
      <c r="F422" s="29" t="n">
        <v>0.0669</v>
      </c>
      <c r="G422" s="29" t="n">
        <v>0.1706</v>
      </c>
      <c r="H422" s="30" t="n">
        <v>13.54</v>
      </c>
      <c r="I422" s="29" t="n">
        <v>0.0261</v>
      </c>
      <c r="J422" s="29" t="n">
        <v>0.0239</v>
      </c>
      <c r="K422" s="29" t="n">
        <v>0.0332</v>
      </c>
      <c r="L422" s="27" t="n">
        <v>20</v>
      </c>
      <c r="M422" s="27" t="n">
        <v>23021</v>
      </c>
      <c r="N422" s="30" t="n">
        <v>45.95</v>
      </c>
      <c r="O422" s="30" t="n">
        <v>11.14</v>
      </c>
      <c r="P422" s="29" t="n">
        <v>0.0097</v>
      </c>
      <c r="Q422" s="27" t="n">
        <v>1336500</v>
      </c>
      <c r="R422" s="27" t="n">
        <v>206162</v>
      </c>
      <c r="S422" s="27" t="n">
        <v>145460</v>
      </c>
      <c r="T422" s="29" t="n">
        <v>0.809</v>
      </c>
      <c r="U422" s="29" t="n">
        <v>0.334</v>
      </c>
      <c r="V422" s="29" t="n">
        <v>0.858</v>
      </c>
      <c r="W422" s="28" t="n">
        <v>12.2</v>
      </c>
    </row>
    <row r="423" customFormat="false" ht="15" hidden="false" customHeight="false" outlineLevel="0" collapsed="false">
      <c r="A423" s="25" t="s">
        <v>655</v>
      </c>
      <c r="B423" s="25" t="s">
        <v>374</v>
      </c>
      <c r="C423" s="26" t="n">
        <v>45992</v>
      </c>
      <c r="D423" s="27" t="n">
        <v>23730</v>
      </c>
      <c r="E423" s="28" t="n">
        <v>742.2</v>
      </c>
      <c r="F423" s="29" t="n">
        <v>0.067</v>
      </c>
      <c r="G423" s="29" t="n">
        <v>0.1688</v>
      </c>
      <c r="H423" s="30" t="n">
        <v>13.84</v>
      </c>
      <c r="I423" s="29" t="n">
        <v>0.0262</v>
      </c>
      <c r="J423" s="29" t="n">
        <v>0.0218</v>
      </c>
      <c r="K423" s="29" t="n">
        <v>0.0252</v>
      </c>
      <c r="L423" s="27" t="n">
        <v>21</v>
      </c>
      <c r="M423" s="27" t="n">
        <v>23042</v>
      </c>
      <c r="N423" s="30" t="n">
        <v>45.66</v>
      </c>
      <c r="O423" s="30" t="n">
        <v>10.81</v>
      </c>
      <c r="P423" s="29" t="n">
        <v>0.0103</v>
      </c>
      <c r="Q423" s="27" t="n">
        <v>1336500</v>
      </c>
      <c r="R423" s="27" t="n">
        <v>198700</v>
      </c>
      <c r="S423" s="27" t="n">
        <v>154238</v>
      </c>
      <c r="T423" s="29" t="n">
        <v>0.801</v>
      </c>
      <c r="U423" s="29" t="n">
        <v>0.353</v>
      </c>
      <c r="V423" s="29" t="n">
        <v>0.879</v>
      </c>
      <c r="W423" s="28" t="n">
        <v>11.5</v>
      </c>
    </row>
    <row r="424" customFormat="false" ht="15" hidden="false" customHeight="false" outlineLevel="0" collapsed="false">
      <c r="A424" s="25" t="s">
        <v>656</v>
      </c>
      <c r="B424" s="25" t="s">
        <v>374</v>
      </c>
      <c r="C424" s="26" t="n">
        <v>46023</v>
      </c>
      <c r="D424" s="27" t="n">
        <v>22708</v>
      </c>
      <c r="E424" s="28" t="n">
        <v>706.5</v>
      </c>
      <c r="F424" s="29" t="n">
        <v>0.0652</v>
      </c>
      <c r="G424" s="29" t="n">
        <v>0.1656</v>
      </c>
      <c r="H424" s="30" t="n">
        <v>13.3</v>
      </c>
      <c r="I424" s="29" t="n">
        <v>0.0248</v>
      </c>
      <c r="J424" s="29" t="n">
        <v>0.0236</v>
      </c>
      <c r="K424" s="29" t="n">
        <v>0.0336</v>
      </c>
      <c r="L424" s="27" t="n">
        <v>19</v>
      </c>
      <c r="M424" s="27" t="n">
        <v>23063</v>
      </c>
      <c r="N424" s="30" t="n">
        <v>45.88</v>
      </c>
      <c r="O424" s="30" t="n">
        <v>11.03</v>
      </c>
      <c r="P424" s="29" t="n">
        <v>0.0097</v>
      </c>
      <c r="Q424" s="27" t="n">
        <v>1336500</v>
      </c>
      <c r="R424" s="27" t="n">
        <v>186214</v>
      </c>
      <c r="S424" s="27" t="n">
        <v>134314</v>
      </c>
      <c r="T424" s="29" t="n">
        <v>0.798</v>
      </c>
      <c r="U424" s="29" t="n">
        <v>0.329</v>
      </c>
      <c r="V424" s="29" t="n">
        <v>0.874</v>
      </c>
      <c r="W424" s="28" t="n">
        <v>11.6</v>
      </c>
    </row>
    <row r="425" customFormat="false" ht="15" hidden="false" customHeight="false" outlineLevel="0" collapsed="false">
      <c r="A425" s="25" t="s">
        <v>657</v>
      </c>
      <c r="B425" s="25" t="s">
        <v>374</v>
      </c>
      <c r="C425" s="26" t="n">
        <v>46054</v>
      </c>
      <c r="D425" s="27" t="n">
        <v>21437</v>
      </c>
      <c r="E425" s="28" t="n">
        <v>722.7</v>
      </c>
      <c r="F425" s="29" t="n">
        <v>0.0632</v>
      </c>
      <c r="G425" s="29" t="n">
        <v>0.1696</v>
      </c>
      <c r="H425" s="30" t="n">
        <v>12.98</v>
      </c>
      <c r="I425" s="29" t="n">
        <v>0.0242</v>
      </c>
      <c r="J425" s="29" t="n">
        <v>0.0223</v>
      </c>
      <c r="K425" s="29" t="n">
        <v>0.0262</v>
      </c>
      <c r="L425" s="27" t="n">
        <v>20</v>
      </c>
      <c r="M425" s="27" t="n">
        <v>23084</v>
      </c>
      <c r="N425" s="30" t="n">
        <v>45.63</v>
      </c>
      <c r="O425" s="30" t="n">
        <v>11</v>
      </c>
      <c r="P425" s="29" t="n">
        <v>0.0098</v>
      </c>
      <c r="Q425" s="27" t="n">
        <v>1336500</v>
      </c>
      <c r="R425" s="27" t="n">
        <v>208311</v>
      </c>
      <c r="S425" s="27" t="n">
        <v>140662</v>
      </c>
      <c r="T425" s="29" t="n">
        <v>0.771</v>
      </c>
      <c r="U425" s="29" t="n">
        <v>0.324</v>
      </c>
      <c r="V425" s="29" t="n">
        <v>0.894</v>
      </c>
      <c r="W425" s="28" t="n">
        <v>11.3</v>
      </c>
    </row>
    <row r="426" customFormat="false" ht="15" hidden="false" customHeight="false" outlineLevel="0" collapsed="false">
      <c r="A426" s="25" t="s">
        <v>658</v>
      </c>
      <c r="B426" s="25" t="s">
        <v>374</v>
      </c>
      <c r="C426" s="26" t="n">
        <v>46082</v>
      </c>
      <c r="D426" s="27" t="n">
        <v>23833</v>
      </c>
      <c r="E426" s="28" t="n">
        <v>718</v>
      </c>
      <c r="F426" s="29" t="n">
        <v>0.0649</v>
      </c>
      <c r="G426" s="29" t="n">
        <v>0.17</v>
      </c>
      <c r="H426" s="30" t="n">
        <v>12.62</v>
      </c>
      <c r="I426" s="29" t="n">
        <v>0.0236</v>
      </c>
      <c r="J426" s="29" t="n">
        <v>0.0211</v>
      </c>
      <c r="K426" s="29" t="n">
        <v>0.0301</v>
      </c>
      <c r="L426" s="27" t="n">
        <v>21</v>
      </c>
      <c r="M426" s="27" t="n">
        <v>23105</v>
      </c>
      <c r="N426" s="30" t="n">
        <v>45.41</v>
      </c>
      <c r="O426" s="30" t="n">
        <v>11.18</v>
      </c>
      <c r="P426" s="29" t="n">
        <v>0.01</v>
      </c>
      <c r="Q426" s="27" t="n">
        <v>1336500</v>
      </c>
      <c r="R426" s="27" t="n">
        <v>206670</v>
      </c>
      <c r="S426" s="27" t="n">
        <v>136544</v>
      </c>
      <c r="T426" s="29" t="n">
        <v>0.798</v>
      </c>
      <c r="U426" s="29" t="n">
        <v>0.328</v>
      </c>
      <c r="V426" s="29" t="n">
        <v>0.858</v>
      </c>
      <c r="W426" s="28" t="n">
        <v>12.5</v>
      </c>
    </row>
    <row r="427" customFormat="false" ht="15" hidden="false" customHeight="false" outlineLevel="0" collapsed="false">
      <c r="A427" s="25" t="s">
        <v>659</v>
      </c>
      <c r="B427" s="25" t="s">
        <v>374</v>
      </c>
      <c r="C427" s="26" t="n">
        <v>46113</v>
      </c>
      <c r="D427" s="27" t="n">
        <v>25136</v>
      </c>
      <c r="E427" s="28" t="n">
        <v>725.6</v>
      </c>
      <c r="F427" s="29" t="n">
        <v>0.0637</v>
      </c>
      <c r="G427" s="29" t="n">
        <v>0.1651</v>
      </c>
      <c r="H427" s="30" t="n">
        <v>13.36</v>
      </c>
      <c r="I427" s="29" t="n">
        <v>0.0266</v>
      </c>
      <c r="J427" s="29" t="n">
        <v>0.0216</v>
      </c>
      <c r="K427" s="29" t="n">
        <v>0.0229</v>
      </c>
      <c r="L427" s="27" t="n">
        <v>21</v>
      </c>
      <c r="M427" s="27" t="n">
        <v>23125</v>
      </c>
      <c r="N427" s="30" t="n">
        <v>44.48</v>
      </c>
      <c r="O427" s="30" t="n">
        <v>10.81</v>
      </c>
      <c r="P427" s="29" t="n">
        <v>0.0101</v>
      </c>
      <c r="Q427" s="27" t="n">
        <v>1336500</v>
      </c>
      <c r="R427" s="27" t="n">
        <v>199672</v>
      </c>
      <c r="S427" s="27" t="n">
        <v>147666</v>
      </c>
      <c r="T427" s="29" t="n">
        <v>0.802</v>
      </c>
      <c r="U427" s="29" t="n">
        <v>0.324</v>
      </c>
      <c r="V427" s="29" t="n">
        <v>0.89</v>
      </c>
      <c r="W427" s="28" t="n">
        <v>11.5</v>
      </c>
    </row>
    <row r="428" customFormat="false" ht="15" hidden="false" customHeight="false" outlineLevel="0" collapsed="false">
      <c r="A428" s="25" t="s">
        <v>660</v>
      </c>
      <c r="B428" s="25" t="s">
        <v>374</v>
      </c>
      <c r="C428" s="26" t="n">
        <v>46143</v>
      </c>
      <c r="D428" s="27" t="n">
        <v>26640</v>
      </c>
      <c r="E428" s="28" t="n">
        <v>729.6</v>
      </c>
      <c r="F428" s="29" t="n">
        <v>0.0666</v>
      </c>
      <c r="G428" s="29" t="n">
        <v>0.1683</v>
      </c>
      <c r="H428" s="30" t="n">
        <v>13.32</v>
      </c>
      <c r="I428" s="29" t="n">
        <v>0.0261</v>
      </c>
      <c r="J428" s="29" t="n">
        <v>0.0208</v>
      </c>
      <c r="K428" s="29" t="n">
        <v>0.0302</v>
      </c>
      <c r="L428" s="27" t="n">
        <v>23</v>
      </c>
      <c r="M428" s="27" t="n">
        <v>23146</v>
      </c>
      <c r="N428" s="30" t="n">
        <v>44.32</v>
      </c>
      <c r="O428" s="30" t="n">
        <v>10.76</v>
      </c>
      <c r="P428" s="29" t="n">
        <v>0.01</v>
      </c>
      <c r="Q428" s="27" t="n">
        <v>1336500</v>
      </c>
      <c r="R428" s="27" t="n">
        <v>197395</v>
      </c>
      <c r="S428" s="27" t="n">
        <v>172136</v>
      </c>
      <c r="T428" s="29" t="n">
        <v>0.808</v>
      </c>
      <c r="U428" s="29" t="n">
        <v>0.332</v>
      </c>
      <c r="V428" s="29" t="n">
        <v>0.895</v>
      </c>
      <c r="W428" s="28" t="n">
        <v>11.3</v>
      </c>
    </row>
    <row r="429" customFormat="false" ht="15" hidden="false" customHeight="false" outlineLevel="0" collapsed="false">
      <c r="A429" s="25" t="s">
        <v>661</v>
      </c>
      <c r="B429" s="25" t="s">
        <v>374</v>
      </c>
      <c r="C429" s="26" t="n">
        <v>46174</v>
      </c>
      <c r="D429" s="27" t="n">
        <v>26306</v>
      </c>
      <c r="E429" s="28" t="n">
        <v>721.7</v>
      </c>
      <c r="F429" s="29" t="n">
        <v>0.0626</v>
      </c>
      <c r="G429" s="29" t="n">
        <v>0.1693</v>
      </c>
      <c r="H429" s="30" t="n">
        <v>13.24</v>
      </c>
      <c r="I429" s="29" t="n">
        <v>0.0256</v>
      </c>
      <c r="J429" s="29" t="n">
        <v>0.0203</v>
      </c>
      <c r="K429" s="29" t="n">
        <v>0.0305</v>
      </c>
      <c r="L429" s="27" t="n">
        <v>24</v>
      </c>
      <c r="M429" s="27" t="n">
        <v>23167</v>
      </c>
      <c r="N429" s="30" t="n">
        <v>43.89</v>
      </c>
      <c r="O429" s="30" t="n">
        <v>10.83</v>
      </c>
      <c r="P429" s="29" t="n">
        <v>0.0098</v>
      </c>
      <c r="Q429" s="27" t="n">
        <v>1336500</v>
      </c>
      <c r="R429" s="27" t="n">
        <v>207014</v>
      </c>
      <c r="S429" s="27" t="n">
        <v>167958</v>
      </c>
      <c r="T429" s="29" t="n">
        <v>0.816</v>
      </c>
      <c r="U429" s="29" t="n">
        <v>0.327</v>
      </c>
      <c r="V429" s="29" t="n">
        <v>0.884</v>
      </c>
      <c r="W429" s="28" t="n">
        <v>12</v>
      </c>
    </row>
    <row r="430" customFormat="false" ht="15" hidden="false" customHeight="false" outlineLevel="0" collapsed="false">
      <c r="A430" s="25" t="s">
        <v>662</v>
      </c>
      <c r="B430" s="25" t="s">
        <v>374</v>
      </c>
      <c r="C430" s="26" t="n">
        <v>46204</v>
      </c>
      <c r="D430" s="27" t="n">
        <v>25354</v>
      </c>
      <c r="E430" s="28" t="n">
        <v>711.1</v>
      </c>
      <c r="F430" s="29" t="n">
        <v>0.061</v>
      </c>
      <c r="G430" s="29" t="n">
        <v>0.169</v>
      </c>
      <c r="H430" s="30" t="n">
        <v>12.81</v>
      </c>
      <c r="I430" s="29" t="n">
        <v>0.0235</v>
      </c>
      <c r="J430" s="29" t="n">
        <v>0.0212</v>
      </c>
      <c r="K430" s="29" t="n">
        <v>0.0292</v>
      </c>
      <c r="L430" s="27" t="n">
        <v>21</v>
      </c>
      <c r="M430" s="27" t="n">
        <v>23188</v>
      </c>
      <c r="N430" s="30" t="n">
        <v>45.54</v>
      </c>
      <c r="O430" s="30" t="n">
        <v>11.13</v>
      </c>
      <c r="P430" s="29" t="n">
        <v>0.0104</v>
      </c>
      <c r="Q430" s="27" t="n">
        <v>1336500</v>
      </c>
      <c r="R430" s="27" t="n">
        <v>210436</v>
      </c>
      <c r="S430" s="27" t="n">
        <v>133634</v>
      </c>
      <c r="T430" s="29" t="n">
        <v>0.812</v>
      </c>
      <c r="U430" s="29" t="n">
        <v>0.335</v>
      </c>
      <c r="V430" s="29" t="n">
        <v>0.88</v>
      </c>
      <c r="W430" s="28" t="n">
        <v>12.1</v>
      </c>
    </row>
    <row r="431" customFormat="false" ht="15" hidden="false" customHeight="false" outlineLevel="0" collapsed="false">
      <c r="A431" s="25" t="s">
        <v>663</v>
      </c>
      <c r="B431" s="25" t="s">
        <v>374</v>
      </c>
      <c r="C431" s="26" t="n">
        <v>46235</v>
      </c>
      <c r="D431" s="27" t="n">
        <v>26855</v>
      </c>
      <c r="E431" s="28" t="n">
        <v>714.6</v>
      </c>
      <c r="F431" s="29" t="n">
        <v>0.0671</v>
      </c>
      <c r="G431" s="29" t="n">
        <v>0.1688</v>
      </c>
      <c r="H431" s="30" t="n">
        <v>12.63</v>
      </c>
      <c r="I431" s="29" t="n">
        <v>0.0256</v>
      </c>
      <c r="J431" s="29" t="n">
        <v>0.0203</v>
      </c>
      <c r="K431" s="29" t="n">
        <v>0.0267</v>
      </c>
      <c r="L431" s="27" t="n">
        <v>23</v>
      </c>
      <c r="M431" s="27" t="n">
        <v>23209</v>
      </c>
      <c r="N431" s="30" t="n">
        <v>44.66</v>
      </c>
      <c r="O431" s="30" t="n">
        <v>10.86</v>
      </c>
      <c r="P431" s="29" t="n">
        <v>0.0101</v>
      </c>
      <c r="Q431" s="27" t="n">
        <v>1336500</v>
      </c>
      <c r="R431" s="27" t="n">
        <v>190945</v>
      </c>
      <c r="S431" s="27" t="n">
        <v>157949</v>
      </c>
      <c r="T431" s="29" t="n">
        <v>0.84</v>
      </c>
      <c r="U431" s="29" t="n">
        <v>0.345</v>
      </c>
      <c r="V431" s="29" t="n">
        <v>0.893</v>
      </c>
      <c r="W431" s="28" t="n">
        <v>12</v>
      </c>
    </row>
    <row r="432" customFormat="false" ht="15" hidden="false" customHeight="false" outlineLevel="0" collapsed="false">
      <c r="A432" s="25" t="s">
        <v>664</v>
      </c>
      <c r="B432" s="25" t="s">
        <v>374</v>
      </c>
      <c r="C432" s="26" t="n">
        <v>46266</v>
      </c>
      <c r="D432" s="27" t="n">
        <v>25694</v>
      </c>
      <c r="E432" s="28" t="n">
        <v>722.9</v>
      </c>
      <c r="F432" s="29" t="n">
        <v>0.0653</v>
      </c>
      <c r="G432" s="29" t="n">
        <v>0.1659</v>
      </c>
      <c r="H432" s="30" t="n">
        <v>12.19</v>
      </c>
      <c r="I432" s="29" t="n">
        <v>0.027</v>
      </c>
      <c r="J432" s="29" t="n">
        <v>0.0198</v>
      </c>
      <c r="K432" s="29" t="n">
        <v>0.0377</v>
      </c>
      <c r="L432" s="27" t="n">
        <v>24</v>
      </c>
      <c r="M432" s="27" t="n">
        <v>23230</v>
      </c>
      <c r="N432" s="30" t="n">
        <v>44.73</v>
      </c>
      <c r="O432" s="30" t="n">
        <v>11.02</v>
      </c>
      <c r="P432" s="29" t="n">
        <v>0.0098</v>
      </c>
      <c r="Q432" s="27" t="n">
        <v>1336500</v>
      </c>
      <c r="R432" s="27" t="n">
        <v>203985</v>
      </c>
      <c r="S432" s="27" t="n">
        <v>137587</v>
      </c>
      <c r="T432" s="29" t="n">
        <v>0.815</v>
      </c>
      <c r="U432" s="29" t="n">
        <v>0.344</v>
      </c>
      <c r="V432" s="29" t="n">
        <v>0.879</v>
      </c>
      <c r="W432" s="28" t="n">
        <v>12.2</v>
      </c>
    </row>
    <row r="433" customFormat="false" ht="15" hidden="false" customHeight="false" outlineLevel="0" collapsed="false">
      <c r="A433" s="25" t="s">
        <v>665</v>
      </c>
      <c r="B433" s="25" t="s">
        <v>376</v>
      </c>
      <c r="C433" s="26" t="n">
        <v>45931</v>
      </c>
      <c r="D433" s="27" t="n">
        <v>12823</v>
      </c>
      <c r="E433" s="28" t="n">
        <v>696.3</v>
      </c>
      <c r="F433" s="29" t="n">
        <v>0.094</v>
      </c>
      <c r="G433" s="29" t="n">
        <v>0.1679</v>
      </c>
      <c r="H433" s="30" t="n">
        <v>12.87</v>
      </c>
      <c r="I433" s="29" t="n">
        <v>0.0196</v>
      </c>
      <c r="J433" s="29" t="n">
        <v>0.0426</v>
      </c>
      <c r="K433" s="29" t="n">
        <v>0.0684</v>
      </c>
      <c r="L433" s="27" t="n">
        <v>16</v>
      </c>
      <c r="M433" s="27" t="n">
        <v>23000</v>
      </c>
      <c r="N433" s="30" t="n">
        <v>46.65</v>
      </c>
      <c r="O433" s="30" t="n">
        <v>11.01</v>
      </c>
      <c r="P433" s="29" t="n">
        <v>0.01</v>
      </c>
      <c r="Q433" s="27" t="n">
        <v>955000</v>
      </c>
      <c r="R433" s="27" t="n">
        <v>184562</v>
      </c>
      <c r="S433" s="27" t="n">
        <v>143809</v>
      </c>
      <c r="T433" s="29" t="n">
        <v>0.59</v>
      </c>
      <c r="U433" s="29" t="n">
        <v>0.27</v>
      </c>
      <c r="V433" s="29" t="n">
        <v>0.821</v>
      </c>
      <c r="W433" s="28" t="n">
        <v>13</v>
      </c>
    </row>
    <row r="434" customFormat="false" ht="15" hidden="false" customHeight="false" outlineLevel="0" collapsed="false">
      <c r="A434" s="25" t="s">
        <v>666</v>
      </c>
      <c r="B434" s="25" t="s">
        <v>376</v>
      </c>
      <c r="C434" s="26" t="n">
        <v>45962</v>
      </c>
      <c r="D434" s="27" t="n">
        <v>14608</v>
      </c>
      <c r="E434" s="28" t="n">
        <v>708.1</v>
      </c>
      <c r="F434" s="29" t="n">
        <v>0.0902</v>
      </c>
      <c r="G434" s="29" t="n">
        <v>0.1724</v>
      </c>
      <c r="H434" s="30" t="n">
        <v>11.73</v>
      </c>
      <c r="I434" s="29" t="n">
        <v>0.0228</v>
      </c>
      <c r="J434" s="29" t="n">
        <v>0.0394</v>
      </c>
      <c r="K434" s="29" t="n">
        <v>0.0695</v>
      </c>
      <c r="L434" s="27" t="n">
        <v>16</v>
      </c>
      <c r="M434" s="27" t="n">
        <v>23021</v>
      </c>
      <c r="N434" s="30" t="n">
        <v>45.86</v>
      </c>
      <c r="O434" s="30" t="n">
        <v>10.98</v>
      </c>
      <c r="P434" s="29" t="n">
        <v>0.0101</v>
      </c>
      <c r="Q434" s="27" t="n">
        <v>955000</v>
      </c>
      <c r="R434" s="27" t="n">
        <v>194211</v>
      </c>
      <c r="S434" s="27" t="n">
        <v>157392</v>
      </c>
      <c r="T434" s="29" t="n">
        <v>0.614</v>
      </c>
      <c r="U434" s="29" t="n">
        <v>0.265</v>
      </c>
      <c r="V434" s="29" t="n">
        <v>0.82</v>
      </c>
      <c r="W434" s="28" t="n">
        <v>12.9</v>
      </c>
    </row>
    <row r="435" customFormat="false" ht="15" hidden="false" customHeight="false" outlineLevel="0" collapsed="false">
      <c r="A435" s="25" t="s">
        <v>667</v>
      </c>
      <c r="B435" s="25" t="s">
        <v>376</v>
      </c>
      <c r="C435" s="26" t="n">
        <v>45992</v>
      </c>
      <c r="D435" s="27" t="n">
        <v>14374</v>
      </c>
      <c r="E435" s="28" t="n">
        <v>711</v>
      </c>
      <c r="F435" s="29" t="n">
        <v>0.0893</v>
      </c>
      <c r="G435" s="29" t="n">
        <v>0.1675</v>
      </c>
      <c r="H435" s="30" t="n">
        <v>11.89</v>
      </c>
      <c r="I435" s="29" t="n">
        <v>0.0213</v>
      </c>
      <c r="J435" s="29" t="n">
        <v>0.0398</v>
      </c>
      <c r="K435" s="29" t="n">
        <v>0.0705</v>
      </c>
      <c r="L435" s="27" t="n">
        <v>16</v>
      </c>
      <c r="M435" s="27" t="n">
        <v>23042</v>
      </c>
      <c r="N435" s="30" t="n">
        <v>47.18</v>
      </c>
      <c r="O435" s="30" t="n">
        <v>10.8</v>
      </c>
      <c r="P435" s="29" t="n">
        <v>0.0097</v>
      </c>
      <c r="Q435" s="27" t="n">
        <v>955000</v>
      </c>
      <c r="R435" s="27" t="n">
        <v>189035</v>
      </c>
      <c r="S435" s="27" t="n">
        <v>144534</v>
      </c>
      <c r="T435" s="29" t="n">
        <v>0.628</v>
      </c>
      <c r="U435" s="29" t="n">
        <v>0.28</v>
      </c>
      <c r="V435" s="29" t="n">
        <v>0.824</v>
      </c>
      <c r="W435" s="28" t="n">
        <v>12.8</v>
      </c>
    </row>
    <row r="436" customFormat="false" ht="15" hidden="false" customHeight="false" outlineLevel="0" collapsed="false">
      <c r="A436" s="25" t="s">
        <v>668</v>
      </c>
      <c r="B436" s="25" t="s">
        <v>376</v>
      </c>
      <c r="C436" s="26" t="n">
        <v>46023</v>
      </c>
      <c r="D436" s="27" t="n">
        <v>14645</v>
      </c>
      <c r="E436" s="28" t="n">
        <v>681</v>
      </c>
      <c r="F436" s="29" t="n">
        <v>0.0882</v>
      </c>
      <c r="G436" s="29" t="n">
        <v>0.1692</v>
      </c>
      <c r="H436" s="30" t="n">
        <v>12.71</v>
      </c>
      <c r="I436" s="29" t="n">
        <v>0.022</v>
      </c>
      <c r="J436" s="29" t="n">
        <v>0.0389</v>
      </c>
      <c r="K436" s="29" t="n">
        <v>0.0736</v>
      </c>
      <c r="L436" s="27" t="n">
        <v>16</v>
      </c>
      <c r="M436" s="27" t="n">
        <v>23063</v>
      </c>
      <c r="N436" s="30" t="n">
        <v>47.08</v>
      </c>
      <c r="O436" s="30" t="n">
        <v>10.76</v>
      </c>
      <c r="P436" s="29" t="n">
        <v>0.0099</v>
      </c>
      <c r="Q436" s="27" t="n">
        <v>955000</v>
      </c>
      <c r="R436" s="27" t="n">
        <v>194697</v>
      </c>
      <c r="S436" s="27" t="n">
        <v>135499</v>
      </c>
      <c r="T436" s="29" t="n">
        <v>0.616</v>
      </c>
      <c r="U436" s="29" t="n">
        <v>0.257</v>
      </c>
      <c r="V436" s="29" t="n">
        <v>0.802</v>
      </c>
      <c r="W436" s="28" t="n">
        <v>13.2</v>
      </c>
    </row>
    <row r="437" customFormat="false" ht="15" hidden="false" customHeight="false" outlineLevel="0" collapsed="false">
      <c r="A437" s="25" t="s">
        <v>669</v>
      </c>
      <c r="B437" s="25" t="s">
        <v>376</v>
      </c>
      <c r="C437" s="26" t="n">
        <v>46054</v>
      </c>
      <c r="D437" s="27" t="n">
        <v>14146</v>
      </c>
      <c r="E437" s="28" t="n">
        <v>696.3</v>
      </c>
      <c r="F437" s="29" t="n">
        <v>0.0903</v>
      </c>
      <c r="G437" s="29" t="n">
        <v>0.1702</v>
      </c>
      <c r="H437" s="30" t="n">
        <v>11.95</v>
      </c>
      <c r="I437" s="29" t="n">
        <v>0.0215</v>
      </c>
      <c r="J437" s="29" t="n">
        <v>0.0401</v>
      </c>
      <c r="K437" s="29" t="n">
        <v>0.0633</v>
      </c>
      <c r="L437" s="27" t="n">
        <v>16</v>
      </c>
      <c r="M437" s="27" t="n">
        <v>23084</v>
      </c>
      <c r="N437" s="30" t="n">
        <v>46.11</v>
      </c>
      <c r="O437" s="30" t="n">
        <v>10.8</v>
      </c>
      <c r="P437" s="29" t="n">
        <v>0.0101</v>
      </c>
      <c r="Q437" s="27" t="n">
        <v>955000</v>
      </c>
      <c r="R437" s="27" t="n">
        <v>191340</v>
      </c>
      <c r="S437" s="27" t="n">
        <v>121582</v>
      </c>
      <c r="T437" s="29" t="n">
        <v>0.645</v>
      </c>
      <c r="U437" s="29" t="n">
        <v>0.25</v>
      </c>
      <c r="V437" s="29" t="n">
        <v>0.82</v>
      </c>
      <c r="W437" s="28" t="n">
        <v>12.6</v>
      </c>
    </row>
    <row r="438" customFormat="false" ht="15" hidden="false" customHeight="false" outlineLevel="0" collapsed="false">
      <c r="A438" s="25" t="s">
        <v>670</v>
      </c>
      <c r="B438" s="25" t="s">
        <v>376</v>
      </c>
      <c r="C438" s="26" t="n">
        <v>46082</v>
      </c>
      <c r="D438" s="27" t="n">
        <v>16699</v>
      </c>
      <c r="E438" s="28" t="n">
        <v>696.4</v>
      </c>
      <c r="F438" s="29" t="n">
        <v>0.0889</v>
      </c>
      <c r="G438" s="29" t="n">
        <v>0.1668</v>
      </c>
      <c r="H438" s="30" t="n">
        <v>12.31</v>
      </c>
      <c r="I438" s="29" t="n">
        <v>0.021</v>
      </c>
      <c r="J438" s="29" t="n">
        <v>0.0388</v>
      </c>
      <c r="K438" s="29" t="n">
        <v>0.0659</v>
      </c>
      <c r="L438" s="27" t="n">
        <v>16</v>
      </c>
      <c r="M438" s="27" t="n">
        <v>23105</v>
      </c>
      <c r="N438" s="30" t="n">
        <v>45.46</v>
      </c>
      <c r="O438" s="30" t="n">
        <v>10.52</v>
      </c>
      <c r="P438" s="29" t="n">
        <v>0.0103</v>
      </c>
      <c r="Q438" s="27" t="n">
        <v>955000</v>
      </c>
      <c r="R438" s="27" t="n">
        <v>196865</v>
      </c>
      <c r="S438" s="27" t="n">
        <v>141968</v>
      </c>
      <c r="T438" s="29" t="n">
        <v>0.626</v>
      </c>
      <c r="U438" s="29" t="n">
        <v>0.268</v>
      </c>
      <c r="V438" s="29" t="n">
        <v>0.823</v>
      </c>
      <c r="W438" s="28" t="n">
        <v>13</v>
      </c>
    </row>
    <row r="439" customFormat="false" ht="15" hidden="false" customHeight="false" outlineLevel="0" collapsed="false">
      <c r="A439" s="25" t="s">
        <v>671</v>
      </c>
      <c r="B439" s="25" t="s">
        <v>376</v>
      </c>
      <c r="C439" s="26" t="n">
        <v>46113</v>
      </c>
      <c r="D439" s="27" t="n">
        <v>16483</v>
      </c>
      <c r="E439" s="28" t="n">
        <v>688.9</v>
      </c>
      <c r="F439" s="29" t="n">
        <v>0.0837</v>
      </c>
      <c r="G439" s="29" t="n">
        <v>0.1677</v>
      </c>
      <c r="H439" s="30" t="n">
        <v>12.85</v>
      </c>
      <c r="I439" s="29" t="n">
        <v>0.022</v>
      </c>
      <c r="J439" s="29" t="n">
        <v>0.0377</v>
      </c>
      <c r="K439" s="29" t="n">
        <v>0.0801</v>
      </c>
      <c r="L439" s="27" t="n">
        <v>16</v>
      </c>
      <c r="M439" s="27" t="n">
        <v>23125</v>
      </c>
      <c r="N439" s="30" t="n">
        <v>45.45</v>
      </c>
      <c r="O439" s="30" t="n">
        <v>11.15</v>
      </c>
      <c r="P439" s="29" t="n">
        <v>0.01</v>
      </c>
      <c r="Q439" s="27" t="n">
        <v>955000</v>
      </c>
      <c r="R439" s="27" t="n">
        <v>196867</v>
      </c>
      <c r="S439" s="27" t="n">
        <v>135646</v>
      </c>
      <c r="T439" s="29" t="n">
        <v>0.643</v>
      </c>
      <c r="U439" s="29" t="n">
        <v>0.268</v>
      </c>
      <c r="V439" s="29" t="n">
        <v>0.819</v>
      </c>
      <c r="W439" s="28" t="n">
        <v>13</v>
      </c>
    </row>
    <row r="440" customFormat="false" ht="15" hidden="false" customHeight="false" outlineLevel="0" collapsed="false">
      <c r="A440" s="25" t="s">
        <v>672</v>
      </c>
      <c r="B440" s="25" t="s">
        <v>376</v>
      </c>
      <c r="C440" s="26" t="n">
        <v>46143</v>
      </c>
      <c r="D440" s="27" t="n">
        <v>19618</v>
      </c>
      <c r="E440" s="28" t="n">
        <v>703.4</v>
      </c>
      <c r="F440" s="29" t="n">
        <v>0.088</v>
      </c>
      <c r="G440" s="29" t="n">
        <v>0.1692</v>
      </c>
      <c r="H440" s="30" t="n">
        <v>12.42</v>
      </c>
      <c r="I440" s="29" t="n">
        <v>0.0236</v>
      </c>
      <c r="J440" s="29" t="n">
        <v>0.0362</v>
      </c>
      <c r="K440" s="29" t="n">
        <v>0.0713</v>
      </c>
      <c r="L440" s="27" t="n">
        <v>20</v>
      </c>
      <c r="M440" s="27" t="n">
        <v>23146</v>
      </c>
      <c r="N440" s="30" t="n">
        <v>44.35</v>
      </c>
      <c r="O440" s="30" t="n">
        <v>11.46</v>
      </c>
      <c r="P440" s="29" t="n">
        <v>0.0103</v>
      </c>
      <c r="Q440" s="27" t="n">
        <v>955000</v>
      </c>
      <c r="R440" s="27" t="n">
        <v>178176</v>
      </c>
      <c r="S440" s="27" t="n">
        <v>132240</v>
      </c>
      <c r="T440" s="29" t="n">
        <v>0.659</v>
      </c>
      <c r="U440" s="29" t="n">
        <v>0.261</v>
      </c>
      <c r="V440" s="29" t="n">
        <v>0.806</v>
      </c>
      <c r="W440" s="28" t="n">
        <v>13.8</v>
      </c>
    </row>
    <row r="441" customFormat="false" ht="15" hidden="false" customHeight="false" outlineLevel="0" collapsed="false">
      <c r="A441" s="25" t="s">
        <v>673</v>
      </c>
      <c r="B441" s="25" t="s">
        <v>376</v>
      </c>
      <c r="C441" s="26" t="n">
        <v>46174</v>
      </c>
      <c r="D441" s="27" t="n">
        <v>19455</v>
      </c>
      <c r="E441" s="28" t="n">
        <v>711.8</v>
      </c>
      <c r="F441" s="29" t="n">
        <v>0.0866</v>
      </c>
      <c r="G441" s="29" t="n">
        <v>0.1663</v>
      </c>
      <c r="H441" s="30" t="n">
        <v>12.1</v>
      </c>
      <c r="I441" s="29" t="n">
        <v>0.023</v>
      </c>
      <c r="J441" s="29" t="n">
        <v>0.0372</v>
      </c>
      <c r="K441" s="29" t="n">
        <v>0.0671</v>
      </c>
      <c r="L441" s="27" t="n">
        <v>20</v>
      </c>
      <c r="M441" s="27" t="n">
        <v>23167</v>
      </c>
      <c r="N441" s="30" t="n">
        <v>44.26</v>
      </c>
      <c r="O441" s="30" t="n">
        <v>10.95</v>
      </c>
      <c r="P441" s="29" t="n">
        <v>0.01</v>
      </c>
      <c r="Q441" s="27" t="n">
        <v>955000</v>
      </c>
      <c r="R441" s="27" t="n">
        <v>188433</v>
      </c>
      <c r="S441" s="27" t="n">
        <v>134801</v>
      </c>
      <c r="T441" s="29" t="n">
        <v>0.655</v>
      </c>
      <c r="U441" s="29" t="n">
        <v>0.257</v>
      </c>
      <c r="V441" s="29" t="n">
        <v>0.81</v>
      </c>
      <c r="W441" s="28" t="n">
        <v>13.2</v>
      </c>
    </row>
    <row r="442" customFormat="false" ht="15" hidden="false" customHeight="false" outlineLevel="0" collapsed="false">
      <c r="A442" s="25" t="s">
        <v>674</v>
      </c>
      <c r="B442" s="25" t="s">
        <v>376</v>
      </c>
      <c r="C442" s="26" t="n">
        <v>46204</v>
      </c>
      <c r="D442" s="27" t="n">
        <v>21445</v>
      </c>
      <c r="E442" s="28" t="n">
        <v>702.1</v>
      </c>
      <c r="F442" s="29" t="n">
        <v>0.0841</v>
      </c>
      <c r="G442" s="29" t="n">
        <v>0.1661</v>
      </c>
      <c r="H442" s="30" t="n">
        <v>12.44</v>
      </c>
      <c r="I442" s="29" t="n">
        <v>0.0243</v>
      </c>
      <c r="J442" s="29" t="n">
        <v>0.0351</v>
      </c>
      <c r="K442" s="29" t="n">
        <v>0.0696</v>
      </c>
      <c r="L442" s="27" t="n">
        <v>21</v>
      </c>
      <c r="M442" s="27" t="n">
        <v>23188</v>
      </c>
      <c r="N442" s="30" t="n">
        <v>42.96</v>
      </c>
      <c r="O442" s="30" t="n">
        <v>11.01</v>
      </c>
      <c r="P442" s="29" t="n">
        <v>0.0096</v>
      </c>
      <c r="Q442" s="27" t="n">
        <v>955000</v>
      </c>
      <c r="R442" s="27" t="n">
        <v>191458</v>
      </c>
      <c r="S442" s="27" t="n">
        <v>156660</v>
      </c>
      <c r="T442" s="29" t="n">
        <v>0.693</v>
      </c>
      <c r="U442" s="29" t="n">
        <v>0.267</v>
      </c>
      <c r="V442" s="29" t="n">
        <v>0.81</v>
      </c>
      <c r="W442" s="28" t="n">
        <v>13.3</v>
      </c>
    </row>
    <row r="443" customFormat="false" ht="15" hidden="false" customHeight="false" outlineLevel="0" collapsed="false">
      <c r="A443" s="25" t="s">
        <v>675</v>
      </c>
      <c r="B443" s="25" t="s">
        <v>376</v>
      </c>
      <c r="C443" s="26" t="n">
        <v>46235</v>
      </c>
      <c r="D443" s="27" t="n">
        <v>18452</v>
      </c>
      <c r="E443" s="28" t="n">
        <v>699.5</v>
      </c>
      <c r="F443" s="29" t="n">
        <v>0.0869</v>
      </c>
      <c r="G443" s="29" t="n">
        <v>0.1659</v>
      </c>
      <c r="H443" s="30" t="n">
        <v>11.75</v>
      </c>
      <c r="I443" s="29" t="n">
        <v>0.0238</v>
      </c>
      <c r="J443" s="29" t="n">
        <v>0.0385</v>
      </c>
      <c r="K443" s="29" t="n">
        <v>0.0712</v>
      </c>
      <c r="L443" s="27" t="n">
        <v>17</v>
      </c>
      <c r="M443" s="27" t="n">
        <v>23209</v>
      </c>
      <c r="N443" s="30" t="n">
        <v>45.46</v>
      </c>
      <c r="O443" s="30" t="n">
        <v>11.05</v>
      </c>
      <c r="P443" s="29" t="n">
        <v>0.01</v>
      </c>
      <c r="Q443" s="27" t="n">
        <v>955000</v>
      </c>
      <c r="R443" s="27" t="n">
        <v>191998</v>
      </c>
      <c r="S443" s="27" t="n">
        <v>123162</v>
      </c>
      <c r="T443" s="29" t="n">
        <v>0.679</v>
      </c>
      <c r="U443" s="29" t="n">
        <v>0.279</v>
      </c>
      <c r="V443" s="29" t="n">
        <v>0.808</v>
      </c>
      <c r="W443" s="28" t="n">
        <v>13.8</v>
      </c>
    </row>
    <row r="444" customFormat="false" ht="15" hidden="false" customHeight="false" outlineLevel="0" collapsed="false">
      <c r="A444" s="25" t="s">
        <v>676</v>
      </c>
      <c r="B444" s="25" t="s">
        <v>376</v>
      </c>
      <c r="C444" s="26" t="n">
        <v>46266</v>
      </c>
      <c r="D444" s="27" t="n">
        <v>19826</v>
      </c>
      <c r="E444" s="28" t="n">
        <v>703.9</v>
      </c>
      <c r="F444" s="29" t="n">
        <v>0.0843</v>
      </c>
      <c r="G444" s="29" t="n">
        <v>0.1702</v>
      </c>
      <c r="H444" s="30" t="n">
        <v>11.79</v>
      </c>
      <c r="I444" s="29" t="n">
        <v>0.0249</v>
      </c>
      <c r="J444" s="29" t="n">
        <v>0.036</v>
      </c>
      <c r="K444" s="29" t="n">
        <v>0.0621</v>
      </c>
      <c r="L444" s="27" t="n">
        <v>21</v>
      </c>
      <c r="M444" s="27" t="n">
        <v>23230</v>
      </c>
      <c r="N444" s="30" t="n">
        <v>43.76</v>
      </c>
      <c r="O444" s="30" t="n">
        <v>10.91</v>
      </c>
      <c r="P444" s="29" t="n">
        <v>0.0102</v>
      </c>
      <c r="Q444" s="27" t="n">
        <v>955000</v>
      </c>
      <c r="R444" s="27" t="n">
        <v>195375</v>
      </c>
      <c r="S444" s="27" t="n">
        <v>134376</v>
      </c>
      <c r="T444" s="29" t="n">
        <v>0.666</v>
      </c>
      <c r="U444" s="29" t="n">
        <v>0.269</v>
      </c>
      <c r="V444" s="29" t="n">
        <v>0.826</v>
      </c>
      <c r="W444" s="28" t="n">
        <v>13</v>
      </c>
    </row>
    <row r="445" customFormat="false" ht="15" hidden="false" customHeight="false" outlineLevel="0" collapsed="false">
      <c r="A445" s="25" t="s">
        <v>677</v>
      </c>
      <c r="B445" s="25" t="s">
        <v>377</v>
      </c>
      <c r="C445" s="26" t="n">
        <v>45931</v>
      </c>
      <c r="D445" s="27" t="n">
        <v>33814</v>
      </c>
      <c r="E445" s="28" t="n">
        <v>721.4</v>
      </c>
      <c r="F445" s="29" t="n">
        <v>0.0595</v>
      </c>
      <c r="G445" s="29" t="n">
        <v>0.1703</v>
      </c>
      <c r="H445" s="30" t="n">
        <v>12.75</v>
      </c>
      <c r="I445" s="29" t="n">
        <v>0.0296</v>
      </c>
      <c r="J445" s="29" t="n">
        <v>0.0262</v>
      </c>
      <c r="K445" s="29" t="n">
        <v>0.0499</v>
      </c>
      <c r="L445" s="27" t="n">
        <v>25</v>
      </c>
      <c r="M445" s="27" t="n">
        <v>23000</v>
      </c>
      <c r="N445" s="30" t="n">
        <v>43.77</v>
      </c>
      <c r="O445" s="30" t="n">
        <v>10.73</v>
      </c>
      <c r="P445" s="29" t="n">
        <v>0.0099</v>
      </c>
      <c r="Q445" s="27" t="n">
        <v>841500</v>
      </c>
      <c r="R445" s="27" t="n">
        <v>181254</v>
      </c>
      <c r="S445" s="27" t="n">
        <v>359497</v>
      </c>
      <c r="T445" s="29" t="n">
        <v>0.755</v>
      </c>
      <c r="U445" s="29" t="n">
        <v>0.323</v>
      </c>
      <c r="V445" s="29" t="n">
        <v>0.849</v>
      </c>
      <c r="W445" s="28" t="n">
        <v>13.1</v>
      </c>
    </row>
    <row r="446" customFormat="false" ht="15" hidden="false" customHeight="false" outlineLevel="0" collapsed="false">
      <c r="A446" s="25" t="s">
        <v>678</v>
      </c>
      <c r="B446" s="25" t="s">
        <v>377</v>
      </c>
      <c r="C446" s="26" t="n">
        <v>45962</v>
      </c>
      <c r="D446" s="27" t="n">
        <v>37988</v>
      </c>
      <c r="E446" s="28" t="n">
        <v>730.1</v>
      </c>
      <c r="F446" s="29" t="n">
        <v>0.0592</v>
      </c>
      <c r="G446" s="29" t="n">
        <v>0.1711</v>
      </c>
      <c r="H446" s="30" t="n">
        <v>12.74</v>
      </c>
      <c r="I446" s="29" t="n">
        <v>0.0331</v>
      </c>
      <c r="J446" s="29" t="n">
        <v>0.0249</v>
      </c>
      <c r="K446" s="29" t="n">
        <v>0.0582</v>
      </c>
      <c r="L446" s="27" t="n">
        <v>29</v>
      </c>
      <c r="M446" s="27" t="n">
        <v>23021</v>
      </c>
      <c r="N446" s="30" t="n">
        <v>43.97</v>
      </c>
      <c r="O446" s="30" t="n">
        <v>10.64</v>
      </c>
      <c r="P446" s="29" t="n">
        <v>0.0096</v>
      </c>
      <c r="Q446" s="27" t="n">
        <v>841500</v>
      </c>
      <c r="R446" s="27" t="n">
        <v>172921</v>
      </c>
      <c r="S446" s="27" t="n">
        <v>381855</v>
      </c>
      <c r="T446" s="29" t="n">
        <v>0.734</v>
      </c>
      <c r="U446" s="29" t="n">
        <v>0.34</v>
      </c>
      <c r="V446" s="29" t="n">
        <v>0.85</v>
      </c>
      <c r="W446" s="28" t="n">
        <v>12.3</v>
      </c>
    </row>
    <row r="447" customFormat="false" ht="15" hidden="false" customHeight="false" outlineLevel="0" collapsed="false">
      <c r="A447" s="25" t="s">
        <v>679</v>
      </c>
      <c r="B447" s="25" t="s">
        <v>377</v>
      </c>
      <c r="C447" s="26" t="n">
        <v>45992</v>
      </c>
      <c r="D447" s="27" t="n">
        <v>38239</v>
      </c>
      <c r="E447" s="28" t="n">
        <v>720.6</v>
      </c>
      <c r="F447" s="29" t="n">
        <v>0.0554</v>
      </c>
      <c r="G447" s="29" t="n">
        <v>0.1707</v>
      </c>
      <c r="H447" s="30" t="n">
        <v>13.05</v>
      </c>
      <c r="I447" s="29" t="n">
        <v>0.0316</v>
      </c>
      <c r="J447" s="29" t="n">
        <v>0.026</v>
      </c>
      <c r="K447" s="29" t="n">
        <v>0.0406</v>
      </c>
      <c r="L447" s="27" t="n">
        <v>28</v>
      </c>
      <c r="M447" s="27" t="n">
        <v>23042</v>
      </c>
      <c r="N447" s="30" t="n">
        <v>43.85</v>
      </c>
      <c r="O447" s="30" t="n">
        <v>10.79</v>
      </c>
      <c r="P447" s="29" t="n">
        <v>0.0097</v>
      </c>
      <c r="Q447" s="27" t="n">
        <v>841500</v>
      </c>
      <c r="R447" s="27" t="n">
        <v>187858</v>
      </c>
      <c r="S447" s="27" t="n">
        <v>373074</v>
      </c>
      <c r="T447" s="29" t="n">
        <v>0.774</v>
      </c>
      <c r="U447" s="29" t="n">
        <v>0.325</v>
      </c>
      <c r="V447" s="29" t="n">
        <v>0.872</v>
      </c>
      <c r="W447" s="28" t="n">
        <v>11.6</v>
      </c>
    </row>
    <row r="448" customFormat="false" ht="15" hidden="false" customHeight="false" outlineLevel="0" collapsed="false">
      <c r="A448" s="25" t="s">
        <v>680</v>
      </c>
      <c r="B448" s="25" t="s">
        <v>377</v>
      </c>
      <c r="C448" s="26" t="n">
        <v>46023</v>
      </c>
      <c r="D448" s="27" t="n">
        <v>40078</v>
      </c>
      <c r="E448" s="28" t="n">
        <v>731.3</v>
      </c>
      <c r="F448" s="29" t="n">
        <v>0.0545</v>
      </c>
      <c r="G448" s="29" t="n">
        <v>0.1669</v>
      </c>
      <c r="H448" s="30" t="n">
        <v>12.51</v>
      </c>
      <c r="I448" s="29" t="n">
        <v>0.0318</v>
      </c>
      <c r="J448" s="29" t="n">
        <v>0.0263</v>
      </c>
      <c r="K448" s="29" t="n">
        <v>0.0454</v>
      </c>
      <c r="L448" s="27" t="n">
        <v>31</v>
      </c>
      <c r="M448" s="27" t="n">
        <v>23063</v>
      </c>
      <c r="N448" s="30" t="n">
        <v>44.39</v>
      </c>
      <c r="O448" s="30" t="n">
        <v>11.15</v>
      </c>
      <c r="P448" s="29" t="n">
        <v>0.0102</v>
      </c>
      <c r="Q448" s="27" t="n">
        <v>841500</v>
      </c>
      <c r="R448" s="27" t="n">
        <v>178586</v>
      </c>
      <c r="S448" s="27" t="n">
        <v>328717</v>
      </c>
      <c r="T448" s="29" t="n">
        <v>0.766</v>
      </c>
      <c r="U448" s="29" t="n">
        <v>0.328</v>
      </c>
      <c r="V448" s="29" t="n">
        <v>0.869</v>
      </c>
      <c r="W448" s="28" t="n">
        <v>11.9</v>
      </c>
    </row>
    <row r="449" customFormat="false" ht="15" hidden="false" customHeight="false" outlineLevel="0" collapsed="false">
      <c r="A449" s="25" t="s">
        <v>681</v>
      </c>
      <c r="B449" s="25" t="s">
        <v>377</v>
      </c>
      <c r="C449" s="26" t="n">
        <v>46054</v>
      </c>
      <c r="D449" s="27" t="n">
        <v>35010</v>
      </c>
      <c r="E449" s="28" t="n">
        <v>715.7</v>
      </c>
      <c r="F449" s="29" t="n">
        <v>0.0537</v>
      </c>
      <c r="G449" s="29" t="n">
        <v>0.1674</v>
      </c>
      <c r="H449" s="30" t="n">
        <v>13.42</v>
      </c>
      <c r="I449" s="29" t="n">
        <v>0.0317</v>
      </c>
      <c r="J449" s="29" t="n">
        <v>0.0252</v>
      </c>
      <c r="K449" s="29" t="n">
        <v>0.0509</v>
      </c>
      <c r="L449" s="27" t="n">
        <v>29</v>
      </c>
      <c r="M449" s="27" t="n">
        <v>23084</v>
      </c>
      <c r="N449" s="30" t="n">
        <v>44.66</v>
      </c>
      <c r="O449" s="30" t="n">
        <v>11.48</v>
      </c>
      <c r="P449" s="29" t="n">
        <v>0.0102</v>
      </c>
      <c r="Q449" s="27" t="n">
        <v>841500</v>
      </c>
      <c r="R449" s="27" t="n">
        <v>175492</v>
      </c>
      <c r="S449" s="27" t="n">
        <v>284801</v>
      </c>
      <c r="T449" s="29" t="n">
        <v>0.779</v>
      </c>
      <c r="U449" s="29" t="n">
        <v>0.322</v>
      </c>
      <c r="V449" s="29" t="n">
        <v>0.863</v>
      </c>
      <c r="W449" s="28" t="n">
        <v>12.1</v>
      </c>
    </row>
    <row r="450" customFormat="false" ht="15" hidden="false" customHeight="false" outlineLevel="0" collapsed="false">
      <c r="A450" s="25" t="s">
        <v>682</v>
      </c>
      <c r="B450" s="25" t="s">
        <v>377</v>
      </c>
      <c r="C450" s="26" t="n">
        <v>46082</v>
      </c>
      <c r="D450" s="27" t="n">
        <v>40474</v>
      </c>
      <c r="E450" s="28" t="n">
        <v>690.5</v>
      </c>
      <c r="F450" s="29" t="n">
        <v>0.0558</v>
      </c>
      <c r="G450" s="29" t="n">
        <v>0.1673</v>
      </c>
      <c r="H450" s="30" t="n">
        <v>13.02</v>
      </c>
      <c r="I450" s="29" t="n">
        <v>0.0323</v>
      </c>
      <c r="J450" s="29" t="n">
        <v>0.0251</v>
      </c>
      <c r="K450" s="29" t="n">
        <v>0.0525</v>
      </c>
      <c r="L450" s="27" t="n">
        <v>31</v>
      </c>
      <c r="M450" s="27" t="n">
        <v>23105</v>
      </c>
      <c r="N450" s="30" t="n">
        <v>43.47</v>
      </c>
      <c r="O450" s="30" t="n">
        <v>10.56</v>
      </c>
      <c r="P450" s="29" t="n">
        <v>0.0098</v>
      </c>
      <c r="Q450" s="27" t="n">
        <v>841500</v>
      </c>
      <c r="R450" s="27" t="n">
        <v>184757</v>
      </c>
      <c r="S450" s="27" t="n">
        <v>320504</v>
      </c>
      <c r="T450" s="29" t="n">
        <v>0.776</v>
      </c>
      <c r="U450" s="29" t="n">
        <v>0.325</v>
      </c>
      <c r="V450" s="29" t="n">
        <v>0.845</v>
      </c>
      <c r="W450" s="28" t="n">
        <v>12.3</v>
      </c>
    </row>
    <row r="451" customFormat="false" ht="15" hidden="false" customHeight="false" outlineLevel="0" collapsed="false">
      <c r="A451" s="25" t="s">
        <v>683</v>
      </c>
      <c r="B451" s="25" t="s">
        <v>377</v>
      </c>
      <c r="C451" s="26" t="n">
        <v>46113</v>
      </c>
      <c r="D451" s="27" t="n">
        <v>42700</v>
      </c>
      <c r="E451" s="28" t="n">
        <v>728.5</v>
      </c>
      <c r="F451" s="29" t="n">
        <v>0.051</v>
      </c>
      <c r="G451" s="29" t="n">
        <v>0.1706</v>
      </c>
      <c r="H451" s="30" t="n">
        <v>12.33</v>
      </c>
      <c r="I451" s="29" t="n">
        <v>0.0333</v>
      </c>
      <c r="J451" s="29" t="n">
        <v>0.0264</v>
      </c>
      <c r="K451" s="29" t="n">
        <v>0.0499</v>
      </c>
      <c r="L451" s="27" t="n">
        <v>33</v>
      </c>
      <c r="M451" s="27" t="n">
        <v>23125</v>
      </c>
      <c r="N451" s="30" t="n">
        <v>44.48</v>
      </c>
      <c r="O451" s="30" t="n">
        <v>10.91</v>
      </c>
      <c r="P451" s="29" t="n">
        <v>0.0104</v>
      </c>
      <c r="Q451" s="27" t="n">
        <v>841500</v>
      </c>
      <c r="R451" s="27" t="n">
        <v>165691</v>
      </c>
      <c r="S451" s="27" t="n">
        <v>329136</v>
      </c>
      <c r="T451" s="29" t="n">
        <v>0.766</v>
      </c>
      <c r="U451" s="29" t="n">
        <v>0.318</v>
      </c>
      <c r="V451" s="29" t="n">
        <v>0.853</v>
      </c>
      <c r="W451" s="28" t="n">
        <v>12.7</v>
      </c>
    </row>
    <row r="452" customFormat="false" ht="15" hidden="false" customHeight="false" outlineLevel="0" collapsed="false">
      <c r="A452" s="25" t="s">
        <v>684</v>
      </c>
      <c r="B452" s="25" t="s">
        <v>377</v>
      </c>
      <c r="C452" s="26" t="n">
        <v>46143</v>
      </c>
      <c r="D452" s="27" t="n">
        <v>48928</v>
      </c>
      <c r="E452" s="28" t="n">
        <v>724.2</v>
      </c>
      <c r="F452" s="29" t="n">
        <v>0.0546</v>
      </c>
      <c r="G452" s="29" t="n">
        <v>0.171</v>
      </c>
      <c r="H452" s="30" t="n">
        <v>13.25</v>
      </c>
      <c r="I452" s="29" t="n">
        <v>0.0329</v>
      </c>
      <c r="J452" s="29" t="n">
        <v>0.026</v>
      </c>
      <c r="K452" s="29" t="n">
        <v>0.0557</v>
      </c>
      <c r="L452" s="27" t="n">
        <v>38</v>
      </c>
      <c r="M452" s="27" t="n">
        <v>23146</v>
      </c>
      <c r="N452" s="30" t="n">
        <v>44.46</v>
      </c>
      <c r="O452" s="30" t="n">
        <v>10.96</v>
      </c>
      <c r="P452" s="29" t="n">
        <v>0.0099</v>
      </c>
      <c r="Q452" s="27" t="n">
        <v>841500</v>
      </c>
      <c r="R452" s="27" t="n">
        <v>185529</v>
      </c>
      <c r="S452" s="27" t="n">
        <v>333276</v>
      </c>
      <c r="T452" s="29" t="n">
        <v>0.775</v>
      </c>
      <c r="U452" s="29" t="n">
        <v>0.335</v>
      </c>
      <c r="V452" s="29" t="n">
        <v>0.834</v>
      </c>
      <c r="W452" s="28" t="n">
        <v>13.2</v>
      </c>
    </row>
    <row r="453" customFormat="false" ht="15" hidden="false" customHeight="false" outlineLevel="0" collapsed="false">
      <c r="A453" s="25" t="s">
        <v>685</v>
      </c>
      <c r="B453" s="25" t="s">
        <v>377</v>
      </c>
      <c r="C453" s="26" t="n">
        <v>46174</v>
      </c>
      <c r="D453" s="27" t="n">
        <v>47483</v>
      </c>
      <c r="E453" s="28" t="n">
        <v>721.3</v>
      </c>
      <c r="F453" s="29" t="n">
        <v>0.0547</v>
      </c>
      <c r="G453" s="29" t="n">
        <v>0.1688</v>
      </c>
      <c r="H453" s="30" t="n">
        <v>12.24</v>
      </c>
      <c r="I453" s="29" t="n">
        <v>0.0302</v>
      </c>
      <c r="J453" s="29" t="n">
        <v>0.0252</v>
      </c>
      <c r="K453" s="29" t="n">
        <v>0.0475</v>
      </c>
      <c r="L453" s="27" t="n">
        <v>37</v>
      </c>
      <c r="M453" s="27" t="n">
        <v>23167</v>
      </c>
      <c r="N453" s="30" t="n">
        <v>44.63</v>
      </c>
      <c r="O453" s="30" t="n">
        <v>10.82</v>
      </c>
      <c r="P453" s="29" t="n">
        <v>0.01</v>
      </c>
      <c r="Q453" s="27" t="n">
        <v>841500</v>
      </c>
      <c r="R453" s="27" t="n">
        <v>169856</v>
      </c>
      <c r="S453" s="27" t="n">
        <v>317853</v>
      </c>
      <c r="T453" s="29" t="n">
        <v>0.807</v>
      </c>
      <c r="U453" s="29" t="n">
        <v>0.321</v>
      </c>
      <c r="V453" s="29" t="n">
        <v>0.837</v>
      </c>
      <c r="W453" s="28" t="n">
        <v>13</v>
      </c>
    </row>
    <row r="454" customFormat="false" ht="15" hidden="false" customHeight="false" outlineLevel="0" collapsed="false">
      <c r="A454" s="25" t="s">
        <v>686</v>
      </c>
      <c r="B454" s="25" t="s">
        <v>377</v>
      </c>
      <c r="C454" s="26" t="n">
        <v>46204</v>
      </c>
      <c r="D454" s="27" t="n">
        <v>48676</v>
      </c>
      <c r="E454" s="28" t="n">
        <v>725.6</v>
      </c>
      <c r="F454" s="29" t="n">
        <v>0.0526</v>
      </c>
      <c r="G454" s="29" t="n">
        <v>0.1719</v>
      </c>
      <c r="H454" s="30" t="n">
        <v>13.02</v>
      </c>
      <c r="I454" s="29" t="n">
        <v>0.0334</v>
      </c>
      <c r="J454" s="29" t="n">
        <v>0.0263</v>
      </c>
      <c r="K454" s="29" t="n">
        <v>0.0503</v>
      </c>
      <c r="L454" s="27" t="n">
        <v>38</v>
      </c>
      <c r="M454" s="27" t="n">
        <v>23188</v>
      </c>
      <c r="N454" s="30" t="n">
        <v>44.66</v>
      </c>
      <c r="O454" s="30" t="n">
        <v>11.33</v>
      </c>
      <c r="P454" s="29" t="n">
        <v>0.0096</v>
      </c>
      <c r="Q454" s="27" t="n">
        <v>841500</v>
      </c>
      <c r="R454" s="27" t="n">
        <v>179523</v>
      </c>
      <c r="S454" s="27" t="n">
        <v>326465</v>
      </c>
      <c r="T454" s="29" t="n">
        <v>0.797</v>
      </c>
      <c r="U454" s="29" t="n">
        <v>0.319</v>
      </c>
      <c r="V454" s="29" t="n">
        <v>0.845</v>
      </c>
      <c r="W454" s="28" t="n">
        <v>12.4</v>
      </c>
    </row>
    <row r="455" customFormat="false" ht="15" hidden="false" customHeight="false" outlineLevel="0" collapsed="false">
      <c r="A455" s="25" t="s">
        <v>687</v>
      </c>
      <c r="B455" s="25" t="s">
        <v>377</v>
      </c>
      <c r="C455" s="26" t="n">
        <v>46235</v>
      </c>
      <c r="D455" s="27" t="n">
        <v>47129</v>
      </c>
      <c r="E455" s="28" t="n">
        <v>716.1</v>
      </c>
      <c r="F455" s="29" t="n">
        <v>0.0555</v>
      </c>
      <c r="G455" s="29" t="n">
        <v>0.166</v>
      </c>
      <c r="H455" s="30" t="n">
        <v>13.06</v>
      </c>
      <c r="I455" s="29" t="n">
        <v>0.0322</v>
      </c>
      <c r="J455" s="29" t="n">
        <v>0.0267</v>
      </c>
      <c r="K455" s="29" t="n">
        <v>0.051</v>
      </c>
      <c r="L455" s="27" t="n">
        <v>37</v>
      </c>
      <c r="M455" s="27" t="n">
        <v>23209</v>
      </c>
      <c r="N455" s="30" t="n">
        <v>44.55</v>
      </c>
      <c r="O455" s="30" t="n">
        <v>10.85</v>
      </c>
      <c r="P455" s="29" t="n">
        <v>0.0105</v>
      </c>
      <c r="Q455" s="27" t="n">
        <v>841500</v>
      </c>
      <c r="R455" s="27" t="n">
        <v>172994</v>
      </c>
      <c r="S455" s="27" t="n">
        <v>295566</v>
      </c>
      <c r="T455" s="29" t="n">
        <v>0.818</v>
      </c>
      <c r="U455" s="29" t="n">
        <v>0.317</v>
      </c>
      <c r="V455" s="29" t="n">
        <v>0.841</v>
      </c>
      <c r="W455" s="28" t="n">
        <v>12.4</v>
      </c>
    </row>
    <row r="456" customFormat="false" ht="15" hidden="false" customHeight="false" outlineLevel="0" collapsed="false">
      <c r="A456" s="25" t="s">
        <v>688</v>
      </c>
      <c r="B456" s="25" t="s">
        <v>377</v>
      </c>
      <c r="C456" s="26" t="n">
        <v>46266</v>
      </c>
      <c r="D456" s="27" t="n">
        <v>47683</v>
      </c>
      <c r="E456" s="28" t="n">
        <v>730.8</v>
      </c>
      <c r="F456" s="29" t="n">
        <v>0.0523</v>
      </c>
      <c r="G456" s="29" t="n">
        <v>0.1711</v>
      </c>
      <c r="H456" s="30" t="n">
        <v>12.85</v>
      </c>
      <c r="I456" s="29" t="n">
        <v>0.0335</v>
      </c>
      <c r="J456" s="29" t="n">
        <v>0.0254</v>
      </c>
      <c r="K456" s="29" t="n">
        <v>0.0489</v>
      </c>
      <c r="L456" s="27" t="n">
        <v>38</v>
      </c>
      <c r="M456" s="27" t="n">
        <v>23230</v>
      </c>
      <c r="N456" s="30" t="n">
        <v>44.93</v>
      </c>
      <c r="O456" s="30" t="n">
        <v>11.04</v>
      </c>
      <c r="P456" s="29" t="n">
        <v>0.01</v>
      </c>
      <c r="Q456" s="27" t="n">
        <v>841500</v>
      </c>
      <c r="R456" s="27" t="n">
        <v>185237</v>
      </c>
      <c r="S456" s="27" t="n">
        <v>301408</v>
      </c>
      <c r="T456" s="29" t="n">
        <v>0.787</v>
      </c>
      <c r="U456" s="29" t="n">
        <v>0.327</v>
      </c>
      <c r="V456" s="29" t="n">
        <v>0.85</v>
      </c>
      <c r="W456" s="28" t="n">
        <v>12.2</v>
      </c>
    </row>
    <row r="457" customFormat="false" ht="15" hidden="false" customHeight="false" outlineLevel="0" collapsed="false">
      <c r="A457" s="25" t="s">
        <v>689</v>
      </c>
      <c r="B457" s="25" t="s">
        <v>372</v>
      </c>
      <c r="C457" s="26" t="n">
        <v>45931</v>
      </c>
      <c r="D457" s="27" t="n">
        <v>2882</v>
      </c>
      <c r="E457" s="28" t="n">
        <v>734.8</v>
      </c>
      <c r="F457" s="29" t="n">
        <v>0.0834</v>
      </c>
      <c r="G457" s="29" t="n">
        <v>0.1608</v>
      </c>
      <c r="H457" s="30" t="n">
        <v>12</v>
      </c>
      <c r="I457" s="29" t="n">
        <v>0.0163</v>
      </c>
      <c r="J457" s="29" t="n">
        <v>0.0385</v>
      </c>
      <c r="K457" s="29" t="n">
        <v>0.0337</v>
      </c>
      <c r="L457" s="27" t="n">
        <v>16</v>
      </c>
      <c r="M457" s="27" t="n">
        <v>23000</v>
      </c>
      <c r="N457" s="30" t="n">
        <v>54.03</v>
      </c>
      <c r="O457" s="30" t="n">
        <v>10.56</v>
      </c>
      <c r="P457" s="29" t="n">
        <v>0.0096</v>
      </c>
      <c r="Q457" s="27" t="n">
        <v>794500</v>
      </c>
      <c r="R457" s="27" t="n">
        <v>159318</v>
      </c>
      <c r="S457" s="27" t="n">
        <v>64843</v>
      </c>
      <c r="T457" s="29" t="n">
        <v>0.574</v>
      </c>
      <c r="U457" s="29" t="n">
        <v>0.268</v>
      </c>
      <c r="V457" s="29" t="n">
        <v>0.871</v>
      </c>
      <c r="W457" s="28" t="n">
        <v>12.2</v>
      </c>
    </row>
    <row r="458" customFormat="false" ht="15" hidden="false" customHeight="false" outlineLevel="0" collapsed="false">
      <c r="A458" s="25" t="s">
        <v>690</v>
      </c>
      <c r="B458" s="25" t="s">
        <v>372</v>
      </c>
      <c r="C458" s="26" t="n">
        <v>45962</v>
      </c>
      <c r="D458" s="27" t="n">
        <v>5889</v>
      </c>
      <c r="E458" s="28" t="n">
        <v>730.5</v>
      </c>
      <c r="F458" s="29" t="n">
        <v>0.081</v>
      </c>
      <c r="G458" s="29" t="n">
        <v>0.1618</v>
      </c>
      <c r="H458" s="30" t="n">
        <v>12.81</v>
      </c>
      <c r="I458" s="29" t="n">
        <v>0.0195</v>
      </c>
      <c r="J458" s="29" t="n">
        <v>0.0378</v>
      </c>
      <c r="K458" s="29" t="n">
        <v>0.038</v>
      </c>
      <c r="L458" s="27" t="n">
        <v>16</v>
      </c>
      <c r="M458" s="27" t="n">
        <v>23021</v>
      </c>
      <c r="N458" s="30" t="n">
        <v>53.09</v>
      </c>
      <c r="O458" s="30" t="n">
        <v>10.89</v>
      </c>
      <c r="P458" s="29" t="n">
        <v>0.01</v>
      </c>
      <c r="Q458" s="27" t="n">
        <v>794500</v>
      </c>
      <c r="R458" s="27" t="n">
        <v>146963</v>
      </c>
      <c r="S458" s="27" t="n">
        <v>120132</v>
      </c>
      <c r="T458" s="29" t="n">
        <v>0.627</v>
      </c>
      <c r="U458" s="29" t="n">
        <v>0.276</v>
      </c>
      <c r="V458" s="29" t="n">
        <v>0.88</v>
      </c>
      <c r="W458" s="28" t="n">
        <v>12</v>
      </c>
    </row>
    <row r="459" customFormat="false" ht="15" hidden="false" customHeight="false" outlineLevel="0" collapsed="false">
      <c r="A459" s="25" t="s">
        <v>691</v>
      </c>
      <c r="B459" s="25" t="s">
        <v>372</v>
      </c>
      <c r="C459" s="26" t="n">
        <v>45992</v>
      </c>
      <c r="D459" s="27" t="n">
        <v>7654</v>
      </c>
      <c r="E459" s="28" t="n">
        <v>725.4</v>
      </c>
      <c r="F459" s="29" t="n">
        <v>0.0757</v>
      </c>
      <c r="G459" s="29" t="n">
        <v>0.1625</v>
      </c>
      <c r="H459" s="30" t="n">
        <v>12.39</v>
      </c>
      <c r="I459" s="29" t="n">
        <v>0.0178</v>
      </c>
      <c r="J459" s="29" t="n">
        <v>0.0366</v>
      </c>
      <c r="K459" s="29" t="n">
        <v>0.0339</v>
      </c>
      <c r="L459" s="27" t="n">
        <v>16</v>
      </c>
      <c r="M459" s="27" t="n">
        <v>23042</v>
      </c>
      <c r="N459" s="30" t="n">
        <v>51.26</v>
      </c>
      <c r="O459" s="30" t="n">
        <v>11.47</v>
      </c>
      <c r="P459" s="29" t="n">
        <v>0.0103</v>
      </c>
      <c r="Q459" s="27" t="n">
        <v>794500</v>
      </c>
      <c r="R459" s="27" t="n">
        <v>152417</v>
      </c>
      <c r="S459" s="27" t="n">
        <v>141124</v>
      </c>
      <c r="T459" s="29" t="n">
        <v>0.628</v>
      </c>
      <c r="U459" s="29" t="n">
        <v>0.276</v>
      </c>
      <c r="V459" s="29" t="n">
        <v>0.861</v>
      </c>
      <c r="W459" s="28" t="n">
        <v>12.4</v>
      </c>
    </row>
    <row r="460" customFormat="false" ht="15" hidden="false" customHeight="false" outlineLevel="0" collapsed="false">
      <c r="A460" s="25" t="s">
        <v>692</v>
      </c>
      <c r="B460" s="25" t="s">
        <v>372</v>
      </c>
      <c r="C460" s="26" t="n">
        <v>46023</v>
      </c>
      <c r="D460" s="27" t="n">
        <v>9862</v>
      </c>
      <c r="E460" s="28" t="n">
        <v>763.5</v>
      </c>
      <c r="F460" s="29" t="n">
        <v>0.076</v>
      </c>
      <c r="G460" s="29" t="n">
        <v>0.167</v>
      </c>
      <c r="H460" s="30" t="n">
        <v>11.98</v>
      </c>
      <c r="I460" s="29" t="n">
        <v>0.0185</v>
      </c>
      <c r="J460" s="29" t="n">
        <v>0.0355</v>
      </c>
      <c r="K460" s="29" t="n">
        <v>0.045</v>
      </c>
      <c r="L460" s="27" t="n">
        <v>16</v>
      </c>
      <c r="M460" s="27" t="n">
        <v>23063</v>
      </c>
      <c r="N460" s="30" t="n">
        <v>50.67</v>
      </c>
      <c r="O460" s="30" t="n">
        <v>11.03</v>
      </c>
      <c r="P460" s="29" t="n">
        <v>0.0099</v>
      </c>
      <c r="Q460" s="27" t="n">
        <v>794500</v>
      </c>
      <c r="R460" s="27" t="n">
        <v>161660</v>
      </c>
      <c r="S460" s="27" t="n">
        <v>178834</v>
      </c>
      <c r="T460" s="29" t="n">
        <v>0.645</v>
      </c>
      <c r="U460" s="29" t="n">
        <v>0.278</v>
      </c>
      <c r="V460" s="29" t="n">
        <v>0.854</v>
      </c>
      <c r="W460" s="28" t="n">
        <v>12.1</v>
      </c>
    </row>
    <row r="461" customFormat="false" ht="15" hidden="false" customHeight="false" outlineLevel="0" collapsed="false">
      <c r="A461" s="25" t="s">
        <v>693</v>
      </c>
      <c r="B461" s="25" t="s">
        <v>372</v>
      </c>
      <c r="C461" s="26" t="n">
        <v>46054</v>
      </c>
      <c r="D461" s="27" t="n">
        <v>10993</v>
      </c>
      <c r="E461" s="28" t="n">
        <v>736.7</v>
      </c>
      <c r="F461" s="29" t="n">
        <v>0.0723</v>
      </c>
      <c r="G461" s="29" t="n">
        <v>0.1646</v>
      </c>
      <c r="H461" s="30" t="n">
        <v>12.17</v>
      </c>
      <c r="I461" s="29" t="n">
        <v>0.0213</v>
      </c>
      <c r="J461" s="29" t="n">
        <v>0.0344</v>
      </c>
      <c r="K461" s="29" t="n">
        <v>0.0333</v>
      </c>
      <c r="L461" s="27" t="n">
        <v>16</v>
      </c>
      <c r="M461" s="27" t="n">
        <v>23084</v>
      </c>
      <c r="N461" s="30" t="n">
        <v>50.96</v>
      </c>
      <c r="O461" s="30" t="n">
        <v>10.67</v>
      </c>
      <c r="P461" s="29" t="n">
        <v>0.0101</v>
      </c>
      <c r="Q461" s="27" t="n">
        <v>794500</v>
      </c>
      <c r="R461" s="27" t="n">
        <v>158024</v>
      </c>
      <c r="S461" s="27" t="n">
        <v>179601</v>
      </c>
      <c r="T461" s="29" t="n">
        <v>0.665</v>
      </c>
      <c r="U461" s="29" t="n">
        <v>0.281</v>
      </c>
      <c r="V461" s="29" t="n">
        <v>0.876</v>
      </c>
      <c r="W461" s="28" t="n">
        <v>11.7</v>
      </c>
    </row>
    <row r="462" customFormat="false" ht="15" hidden="false" customHeight="false" outlineLevel="0" collapsed="false">
      <c r="A462" s="25" t="s">
        <v>694</v>
      </c>
      <c r="B462" s="25" t="s">
        <v>372</v>
      </c>
      <c r="C462" s="26" t="n">
        <v>46082</v>
      </c>
      <c r="D462" s="27" t="n">
        <v>14270</v>
      </c>
      <c r="E462" s="28" t="n">
        <v>738.3</v>
      </c>
      <c r="F462" s="29" t="n">
        <v>0.065</v>
      </c>
      <c r="G462" s="29" t="n">
        <v>0.1639</v>
      </c>
      <c r="H462" s="30" t="n">
        <v>13.13</v>
      </c>
      <c r="I462" s="29" t="n">
        <v>0.0216</v>
      </c>
      <c r="J462" s="29" t="n">
        <v>0.0326</v>
      </c>
      <c r="K462" s="29" t="n">
        <v>0.0352</v>
      </c>
      <c r="L462" s="27" t="n">
        <v>16</v>
      </c>
      <c r="M462" s="27" t="n">
        <v>23105</v>
      </c>
      <c r="N462" s="30" t="n">
        <v>49.05</v>
      </c>
      <c r="O462" s="30" t="n">
        <v>10.69</v>
      </c>
      <c r="P462" s="29" t="n">
        <v>0.0102</v>
      </c>
      <c r="Q462" s="27" t="n">
        <v>794500</v>
      </c>
      <c r="R462" s="27" t="n">
        <v>149444</v>
      </c>
      <c r="S462" s="27" t="n">
        <v>198360</v>
      </c>
      <c r="T462" s="29" t="n">
        <v>0.7</v>
      </c>
      <c r="U462" s="29" t="n">
        <v>0.256</v>
      </c>
      <c r="V462" s="29" t="n">
        <v>0.873</v>
      </c>
      <c r="W462" s="28" t="n">
        <v>11.8</v>
      </c>
    </row>
    <row r="463" customFormat="false" ht="15" hidden="false" customHeight="false" outlineLevel="0" collapsed="false">
      <c r="A463" s="25" t="s">
        <v>695</v>
      </c>
      <c r="B463" s="25" t="s">
        <v>372</v>
      </c>
      <c r="C463" s="26" t="n">
        <v>46113</v>
      </c>
      <c r="D463" s="27" t="n">
        <v>15007</v>
      </c>
      <c r="E463" s="28" t="n">
        <v>724.6</v>
      </c>
      <c r="F463" s="29" t="n">
        <v>0.063</v>
      </c>
      <c r="G463" s="29" t="n">
        <v>0.1596</v>
      </c>
      <c r="H463" s="30" t="n">
        <v>12.92</v>
      </c>
      <c r="I463" s="29" t="n">
        <v>0.0227</v>
      </c>
      <c r="J463" s="29" t="n">
        <v>0.0311</v>
      </c>
      <c r="K463" s="29" t="n">
        <v>0.0401</v>
      </c>
      <c r="L463" s="27" t="n">
        <v>16</v>
      </c>
      <c r="M463" s="27" t="n">
        <v>23125</v>
      </c>
      <c r="N463" s="30" t="n">
        <v>49.16</v>
      </c>
      <c r="O463" s="30" t="n">
        <v>10.7</v>
      </c>
      <c r="P463" s="29" t="n">
        <v>0.0104</v>
      </c>
      <c r="Q463" s="27" t="n">
        <v>794500</v>
      </c>
      <c r="R463" s="27" t="n">
        <v>143489</v>
      </c>
      <c r="S463" s="27" t="n">
        <v>197901</v>
      </c>
      <c r="T463" s="29" t="n">
        <v>0.711</v>
      </c>
      <c r="U463" s="29" t="n">
        <v>0.272</v>
      </c>
      <c r="V463" s="29" t="n">
        <v>0.882</v>
      </c>
      <c r="W463" s="28" t="n">
        <v>11.4</v>
      </c>
    </row>
    <row r="464" customFormat="false" ht="15" hidden="false" customHeight="false" outlineLevel="0" collapsed="false">
      <c r="A464" s="25" t="s">
        <v>696</v>
      </c>
      <c r="B464" s="25" t="s">
        <v>372</v>
      </c>
      <c r="C464" s="26" t="n">
        <v>46143</v>
      </c>
      <c r="D464" s="27" t="n">
        <v>18258</v>
      </c>
      <c r="E464" s="28" t="n">
        <v>747.3</v>
      </c>
      <c r="F464" s="29" t="n">
        <v>0.0637</v>
      </c>
      <c r="G464" s="29" t="n">
        <v>0.1632</v>
      </c>
      <c r="H464" s="30" t="n">
        <v>12.08</v>
      </c>
      <c r="I464" s="29" t="n">
        <v>0.0224</v>
      </c>
      <c r="J464" s="29" t="n">
        <v>0.03</v>
      </c>
      <c r="K464" s="29" t="n">
        <v>0.0426</v>
      </c>
      <c r="L464" s="27" t="n">
        <v>18</v>
      </c>
      <c r="M464" s="27" t="n">
        <v>23146</v>
      </c>
      <c r="N464" s="30" t="n">
        <v>46.67</v>
      </c>
      <c r="O464" s="30" t="n">
        <v>10.97</v>
      </c>
      <c r="P464" s="29" t="n">
        <v>0.0098</v>
      </c>
      <c r="Q464" s="27" t="n">
        <v>794500</v>
      </c>
      <c r="R464" s="27" t="n">
        <v>155028</v>
      </c>
      <c r="S464" s="27" t="n">
        <v>225906</v>
      </c>
      <c r="T464" s="29" t="n">
        <v>0.71</v>
      </c>
      <c r="U464" s="29" t="n">
        <v>0.272</v>
      </c>
      <c r="V464" s="29" t="n">
        <v>0.866</v>
      </c>
      <c r="W464" s="28" t="n">
        <v>12.2</v>
      </c>
    </row>
    <row r="465" customFormat="false" ht="15" hidden="false" customHeight="false" outlineLevel="0" collapsed="false">
      <c r="A465" s="25" t="s">
        <v>697</v>
      </c>
      <c r="B465" s="25" t="s">
        <v>372</v>
      </c>
      <c r="C465" s="26" t="n">
        <v>46174</v>
      </c>
      <c r="D465" s="27" t="n">
        <v>19270</v>
      </c>
      <c r="E465" s="28" t="n">
        <v>747.6</v>
      </c>
      <c r="F465" s="29" t="n">
        <v>0.0633</v>
      </c>
      <c r="G465" s="29" t="n">
        <v>0.1613</v>
      </c>
      <c r="H465" s="30" t="n">
        <v>11.82</v>
      </c>
      <c r="I465" s="29" t="n">
        <v>0.0249</v>
      </c>
      <c r="J465" s="29" t="n">
        <v>0.028</v>
      </c>
      <c r="K465" s="29" t="n">
        <v>0.0334</v>
      </c>
      <c r="L465" s="27" t="n">
        <v>20</v>
      </c>
      <c r="M465" s="27" t="n">
        <v>23167</v>
      </c>
      <c r="N465" s="30" t="n">
        <v>47.7</v>
      </c>
      <c r="O465" s="30" t="n">
        <v>11.03</v>
      </c>
      <c r="P465" s="29" t="n">
        <v>0.0097</v>
      </c>
      <c r="Q465" s="27" t="n">
        <v>794500</v>
      </c>
      <c r="R465" s="27" t="n">
        <v>152732</v>
      </c>
      <c r="S465" s="27" t="n">
        <v>212109</v>
      </c>
      <c r="T465" s="29" t="n">
        <v>0.742</v>
      </c>
      <c r="U465" s="29" t="n">
        <v>0.271</v>
      </c>
      <c r="V465" s="29" t="n">
        <v>0.863</v>
      </c>
      <c r="W465" s="28" t="n">
        <v>11.6</v>
      </c>
    </row>
    <row r="466" customFormat="false" ht="15" hidden="false" customHeight="false" outlineLevel="0" collapsed="false">
      <c r="A466" s="25" t="s">
        <v>698</v>
      </c>
      <c r="B466" s="25" t="s">
        <v>372</v>
      </c>
      <c r="C466" s="26" t="n">
        <v>46204</v>
      </c>
      <c r="D466" s="27" t="n">
        <v>19988</v>
      </c>
      <c r="E466" s="28" t="n">
        <v>739.2</v>
      </c>
      <c r="F466" s="29" t="n">
        <v>0.0647</v>
      </c>
      <c r="G466" s="29" t="n">
        <v>0.1645</v>
      </c>
      <c r="H466" s="30" t="n">
        <v>13.07</v>
      </c>
      <c r="I466" s="29" t="n">
        <v>0.0237</v>
      </c>
      <c r="J466" s="29" t="n">
        <v>0.0291</v>
      </c>
      <c r="K466" s="29" t="n">
        <v>0.0297</v>
      </c>
      <c r="L466" s="27" t="n">
        <v>19</v>
      </c>
      <c r="M466" s="27" t="n">
        <v>23188</v>
      </c>
      <c r="N466" s="30" t="n">
        <v>46.46</v>
      </c>
      <c r="O466" s="30" t="n">
        <v>11.02</v>
      </c>
      <c r="P466" s="29" t="n">
        <v>0.0098</v>
      </c>
      <c r="Q466" s="27" t="n">
        <v>794500</v>
      </c>
      <c r="R466" s="27" t="n">
        <v>151168</v>
      </c>
      <c r="S466" s="27" t="n">
        <v>222508</v>
      </c>
      <c r="T466" s="29" t="n">
        <v>0.739</v>
      </c>
      <c r="U466" s="29" t="n">
        <v>0.26</v>
      </c>
      <c r="V466" s="29" t="n">
        <v>0.886</v>
      </c>
      <c r="W466" s="28" t="n">
        <v>11.1</v>
      </c>
    </row>
    <row r="467" customFormat="false" ht="15" hidden="false" customHeight="false" outlineLevel="0" collapsed="false">
      <c r="A467" s="25" t="s">
        <v>699</v>
      </c>
      <c r="B467" s="25" t="s">
        <v>372</v>
      </c>
      <c r="C467" s="26" t="n">
        <v>46235</v>
      </c>
      <c r="D467" s="27" t="n">
        <v>20307</v>
      </c>
      <c r="E467" s="28" t="n">
        <v>752.9</v>
      </c>
      <c r="F467" s="29" t="n">
        <v>0.0625</v>
      </c>
      <c r="G467" s="29" t="n">
        <v>0.1612</v>
      </c>
      <c r="H467" s="30" t="n">
        <v>12.06</v>
      </c>
      <c r="I467" s="29" t="n">
        <v>0.024</v>
      </c>
      <c r="J467" s="29" t="n">
        <v>0.0295</v>
      </c>
      <c r="K467" s="29" t="n">
        <v>0.0381</v>
      </c>
      <c r="L467" s="27" t="n">
        <v>19</v>
      </c>
      <c r="M467" s="27" t="n">
        <v>23209</v>
      </c>
      <c r="N467" s="30" t="n">
        <v>45.92</v>
      </c>
      <c r="O467" s="30" t="n">
        <v>11.36</v>
      </c>
      <c r="P467" s="29" t="n">
        <v>0.0101</v>
      </c>
      <c r="Q467" s="27" t="n">
        <v>794500</v>
      </c>
      <c r="R467" s="27" t="n">
        <v>144797</v>
      </c>
      <c r="S467" s="27" t="n">
        <v>221478</v>
      </c>
      <c r="T467" s="29" t="n">
        <v>0.755</v>
      </c>
      <c r="U467" s="29" t="n">
        <v>0.273</v>
      </c>
      <c r="V467" s="29" t="n">
        <v>0.864</v>
      </c>
      <c r="W467" s="28" t="n">
        <v>12.3</v>
      </c>
    </row>
    <row r="468" customFormat="false" ht="15" hidden="false" customHeight="false" outlineLevel="0" collapsed="false">
      <c r="A468" s="25" t="s">
        <v>700</v>
      </c>
      <c r="B468" s="25" t="s">
        <v>372</v>
      </c>
      <c r="C468" s="26" t="n">
        <v>46266</v>
      </c>
      <c r="D468" s="27" t="n">
        <v>22249</v>
      </c>
      <c r="E468" s="28" t="n">
        <v>743.2</v>
      </c>
      <c r="F468" s="29" t="n">
        <v>0.0606</v>
      </c>
      <c r="G468" s="29" t="n">
        <v>0.1636</v>
      </c>
      <c r="H468" s="30" t="n">
        <v>12.11</v>
      </c>
      <c r="I468" s="29" t="n">
        <v>0.0233</v>
      </c>
      <c r="J468" s="29" t="n">
        <v>0.0257</v>
      </c>
      <c r="K468" s="29" t="n">
        <v>0.0372</v>
      </c>
      <c r="L468" s="27" t="n">
        <v>23</v>
      </c>
      <c r="M468" s="27" t="n">
        <v>23230</v>
      </c>
      <c r="N468" s="30" t="n">
        <v>45.32</v>
      </c>
      <c r="O468" s="30" t="n">
        <v>11.09</v>
      </c>
      <c r="P468" s="29" t="n">
        <v>0.0106</v>
      </c>
      <c r="Q468" s="27" t="n">
        <v>794500</v>
      </c>
      <c r="R468" s="27" t="n">
        <v>148387</v>
      </c>
      <c r="S468" s="27" t="n">
        <v>207454</v>
      </c>
      <c r="T468" s="29" t="n">
        <v>0.767</v>
      </c>
      <c r="U468" s="29" t="n">
        <v>0.272</v>
      </c>
      <c r="V468" s="29" t="n">
        <v>0.847</v>
      </c>
      <c r="W468" s="28" t="n">
        <v>12.2</v>
      </c>
    </row>
    <row r="469" customFormat="false" ht="15" hidden="false" customHeight="false" outlineLevel="0" collapsed="false">
      <c r="A469" s="25" t="s">
        <v>701</v>
      </c>
      <c r="B469" s="25" t="s">
        <v>379</v>
      </c>
      <c r="C469" s="26" t="n">
        <v>45931</v>
      </c>
      <c r="D469" s="27" t="n">
        <v>17888</v>
      </c>
      <c r="E469" s="28" t="n">
        <v>683.2</v>
      </c>
      <c r="F469" s="29" t="n">
        <v>0.0708</v>
      </c>
      <c r="G469" s="29" t="n">
        <v>0.162</v>
      </c>
      <c r="H469" s="30" t="n">
        <v>13.46</v>
      </c>
      <c r="I469" s="29" t="n">
        <v>0.0232</v>
      </c>
      <c r="J469" s="29" t="n">
        <v>0.0276</v>
      </c>
      <c r="K469" s="29" t="n">
        <v>0.0252</v>
      </c>
      <c r="L469" s="27" t="n">
        <v>16</v>
      </c>
      <c r="M469" s="27" t="n">
        <v>23000</v>
      </c>
      <c r="N469" s="30" t="n">
        <v>43.45</v>
      </c>
      <c r="O469" s="30" t="n">
        <v>11.01</v>
      </c>
      <c r="P469" s="29" t="n">
        <v>0.0102</v>
      </c>
      <c r="Q469" s="27" t="n">
        <v>605500</v>
      </c>
      <c r="R469" s="27" t="n">
        <v>151263</v>
      </c>
      <c r="S469" s="27" t="n">
        <v>283784</v>
      </c>
      <c r="T469" s="29" t="n">
        <v>0.654</v>
      </c>
      <c r="U469" s="29" t="n">
        <v>0.396</v>
      </c>
      <c r="V469" s="29" t="n">
        <v>0.888</v>
      </c>
      <c r="W469" s="28" t="n">
        <v>11.2</v>
      </c>
    </row>
    <row r="470" customFormat="false" ht="15" hidden="false" customHeight="false" outlineLevel="0" collapsed="false">
      <c r="A470" s="25" t="s">
        <v>702</v>
      </c>
      <c r="B470" s="25" t="s">
        <v>379</v>
      </c>
      <c r="C470" s="26" t="n">
        <v>45962</v>
      </c>
      <c r="D470" s="27" t="n">
        <v>20211</v>
      </c>
      <c r="E470" s="28" t="n">
        <v>699.7</v>
      </c>
      <c r="F470" s="29" t="n">
        <v>0.066</v>
      </c>
      <c r="G470" s="29" t="n">
        <v>0.167</v>
      </c>
      <c r="H470" s="30" t="n">
        <v>14.11</v>
      </c>
      <c r="I470" s="29" t="n">
        <v>0.0238</v>
      </c>
      <c r="J470" s="29" t="n">
        <v>0.0245</v>
      </c>
      <c r="K470" s="29" t="n">
        <v>0.035</v>
      </c>
      <c r="L470" s="27" t="n">
        <v>16</v>
      </c>
      <c r="M470" s="27" t="n">
        <v>23021</v>
      </c>
      <c r="N470" s="30" t="n">
        <v>41.28</v>
      </c>
      <c r="O470" s="30" t="n">
        <v>11.04</v>
      </c>
      <c r="P470" s="29" t="n">
        <v>0.0102</v>
      </c>
      <c r="Q470" s="27" t="n">
        <v>605500</v>
      </c>
      <c r="R470" s="27" t="n">
        <v>147599</v>
      </c>
      <c r="S470" s="27" t="n">
        <v>306641</v>
      </c>
      <c r="T470" s="29" t="n">
        <v>0.668</v>
      </c>
      <c r="U470" s="29" t="n">
        <v>0.423</v>
      </c>
      <c r="V470" s="29" t="n">
        <v>0.88</v>
      </c>
      <c r="W470" s="28" t="n">
        <v>11.4</v>
      </c>
    </row>
    <row r="471" customFormat="false" ht="15" hidden="false" customHeight="false" outlineLevel="0" collapsed="false">
      <c r="A471" s="25" t="s">
        <v>703</v>
      </c>
      <c r="B471" s="25" t="s">
        <v>379</v>
      </c>
      <c r="C471" s="26" t="n">
        <v>45992</v>
      </c>
      <c r="D471" s="27" t="n">
        <v>24546</v>
      </c>
      <c r="E471" s="28" t="n">
        <v>711.6</v>
      </c>
      <c r="F471" s="29" t="n">
        <v>0.0661</v>
      </c>
      <c r="G471" s="29" t="n">
        <v>0.168</v>
      </c>
      <c r="H471" s="30" t="n">
        <v>13.98</v>
      </c>
      <c r="I471" s="29" t="n">
        <v>0.0256</v>
      </c>
      <c r="J471" s="29" t="n">
        <v>0.0232</v>
      </c>
      <c r="K471" s="29" t="n">
        <v>0.0286</v>
      </c>
      <c r="L471" s="27" t="n">
        <v>18</v>
      </c>
      <c r="M471" s="27" t="n">
        <v>23042</v>
      </c>
      <c r="N471" s="30" t="n">
        <v>40.02</v>
      </c>
      <c r="O471" s="30" t="n">
        <v>10.79</v>
      </c>
      <c r="P471" s="29" t="n">
        <v>0.01</v>
      </c>
      <c r="Q471" s="27" t="n">
        <v>605500</v>
      </c>
      <c r="R471" s="27" t="n">
        <v>152773</v>
      </c>
      <c r="S471" s="27" t="n">
        <v>352524</v>
      </c>
      <c r="T471" s="29" t="n">
        <v>0.711</v>
      </c>
      <c r="U471" s="29" t="n">
        <v>0.407</v>
      </c>
      <c r="V471" s="29" t="n">
        <v>0.889</v>
      </c>
      <c r="W471" s="28" t="n">
        <v>11.2</v>
      </c>
    </row>
    <row r="472" customFormat="false" ht="15" hidden="false" customHeight="false" outlineLevel="0" collapsed="false">
      <c r="A472" s="25" t="s">
        <v>704</v>
      </c>
      <c r="B472" s="25" t="s">
        <v>379</v>
      </c>
      <c r="C472" s="26" t="n">
        <v>46023</v>
      </c>
      <c r="D472" s="27" t="n">
        <v>24395</v>
      </c>
      <c r="E472" s="28" t="n">
        <v>703.6</v>
      </c>
      <c r="F472" s="29" t="n">
        <v>0.0625</v>
      </c>
      <c r="G472" s="29" t="n">
        <v>0.1649</v>
      </c>
      <c r="H472" s="30" t="n">
        <v>14.55</v>
      </c>
      <c r="I472" s="29" t="n">
        <v>0.0255</v>
      </c>
      <c r="J472" s="29" t="n">
        <v>0.0223</v>
      </c>
      <c r="K472" s="29" t="n">
        <v>0.0365</v>
      </c>
      <c r="L472" s="27" t="n">
        <v>18</v>
      </c>
      <c r="M472" s="27" t="n">
        <v>23063</v>
      </c>
      <c r="N472" s="30" t="n">
        <v>40.98</v>
      </c>
      <c r="O472" s="30" t="n">
        <v>11.15</v>
      </c>
      <c r="P472" s="29" t="n">
        <v>0.0098</v>
      </c>
      <c r="Q472" s="27" t="n">
        <v>605500</v>
      </c>
      <c r="R472" s="27" t="n">
        <v>149677</v>
      </c>
      <c r="S472" s="27" t="n">
        <v>308867</v>
      </c>
      <c r="T472" s="29" t="n">
        <v>0.691</v>
      </c>
      <c r="U472" s="29" t="n">
        <v>0.395</v>
      </c>
      <c r="V472" s="29" t="n">
        <v>0.864</v>
      </c>
      <c r="W472" s="28" t="n">
        <v>12.4</v>
      </c>
    </row>
    <row r="473" customFormat="false" ht="15" hidden="false" customHeight="false" outlineLevel="0" collapsed="false">
      <c r="A473" s="25" t="s">
        <v>705</v>
      </c>
      <c r="B473" s="25" t="s">
        <v>379</v>
      </c>
      <c r="C473" s="26" t="n">
        <v>46054</v>
      </c>
      <c r="D473" s="27" t="n">
        <v>23645</v>
      </c>
      <c r="E473" s="28" t="n">
        <v>712.8</v>
      </c>
      <c r="F473" s="29" t="n">
        <v>0.0624</v>
      </c>
      <c r="G473" s="29" t="n">
        <v>0.1677</v>
      </c>
      <c r="H473" s="30" t="n">
        <v>14.12</v>
      </c>
      <c r="I473" s="29" t="n">
        <v>0.0262</v>
      </c>
      <c r="J473" s="29" t="n">
        <v>0.0223</v>
      </c>
      <c r="K473" s="29" t="n">
        <v>0.0315</v>
      </c>
      <c r="L473" s="27" t="n">
        <v>19</v>
      </c>
      <c r="M473" s="27" t="n">
        <v>23084</v>
      </c>
      <c r="N473" s="30" t="n">
        <v>39.95</v>
      </c>
      <c r="O473" s="30" t="n">
        <v>10.83</v>
      </c>
      <c r="P473" s="29" t="n">
        <v>0.01</v>
      </c>
      <c r="Q473" s="27" t="n">
        <v>605500</v>
      </c>
      <c r="R473" s="27" t="n">
        <v>139359</v>
      </c>
      <c r="S473" s="27" t="n">
        <v>259937</v>
      </c>
      <c r="T473" s="29" t="n">
        <v>0.687</v>
      </c>
      <c r="U473" s="29" t="n">
        <v>0.398</v>
      </c>
      <c r="V473" s="29" t="n">
        <v>0.888</v>
      </c>
      <c r="W473" s="28" t="n">
        <v>11.4</v>
      </c>
    </row>
    <row r="474" customFormat="false" ht="15" hidden="false" customHeight="false" outlineLevel="0" collapsed="false">
      <c r="A474" s="25" t="s">
        <v>706</v>
      </c>
      <c r="B474" s="25" t="s">
        <v>379</v>
      </c>
      <c r="C474" s="26" t="n">
        <v>46082</v>
      </c>
      <c r="D474" s="27" t="n">
        <v>32307</v>
      </c>
      <c r="E474" s="28" t="n">
        <v>683.9</v>
      </c>
      <c r="F474" s="29" t="n">
        <v>0.0579</v>
      </c>
      <c r="G474" s="29" t="n">
        <v>0.1661</v>
      </c>
      <c r="H474" s="30" t="n">
        <v>14.24</v>
      </c>
      <c r="I474" s="29" t="n">
        <v>0.0289</v>
      </c>
      <c r="J474" s="29" t="n">
        <v>0.0214</v>
      </c>
      <c r="K474" s="29" t="n">
        <v>0.0334</v>
      </c>
      <c r="L474" s="27" t="n">
        <v>24</v>
      </c>
      <c r="M474" s="27" t="n">
        <v>23105</v>
      </c>
      <c r="N474" s="30" t="n">
        <v>37.33</v>
      </c>
      <c r="O474" s="30" t="n">
        <v>10.91</v>
      </c>
      <c r="P474" s="29" t="n">
        <v>0.0107</v>
      </c>
      <c r="Q474" s="27" t="n">
        <v>605500</v>
      </c>
      <c r="R474" s="27" t="n">
        <v>144975</v>
      </c>
      <c r="S474" s="27" t="n">
        <v>335856</v>
      </c>
      <c r="T474" s="29" t="n">
        <v>0.74</v>
      </c>
      <c r="U474" s="29" t="n">
        <v>0.419</v>
      </c>
      <c r="V474" s="29" t="n">
        <v>0.888</v>
      </c>
      <c r="W474" s="28" t="n">
        <v>11.4</v>
      </c>
    </row>
    <row r="475" customFormat="false" ht="15" hidden="false" customHeight="false" outlineLevel="0" collapsed="false">
      <c r="A475" s="25" t="s">
        <v>707</v>
      </c>
      <c r="B475" s="25" t="s">
        <v>379</v>
      </c>
      <c r="C475" s="26" t="n">
        <v>46113</v>
      </c>
      <c r="D475" s="27" t="n">
        <v>34568</v>
      </c>
      <c r="E475" s="28" t="n">
        <v>702.1</v>
      </c>
      <c r="F475" s="29" t="n">
        <v>0.0606</v>
      </c>
      <c r="G475" s="29" t="n">
        <v>0.1653</v>
      </c>
      <c r="H475" s="30" t="n">
        <v>14.12</v>
      </c>
      <c r="I475" s="29" t="n">
        <v>0.0286</v>
      </c>
      <c r="J475" s="29" t="n">
        <v>0.0204</v>
      </c>
      <c r="K475" s="29" t="n">
        <v>0.0362</v>
      </c>
      <c r="L475" s="27" t="n">
        <v>27</v>
      </c>
      <c r="M475" s="27" t="n">
        <v>23125</v>
      </c>
      <c r="N475" s="30" t="n">
        <v>37.47</v>
      </c>
      <c r="O475" s="30" t="n">
        <v>10.36</v>
      </c>
      <c r="P475" s="29" t="n">
        <v>0.0099</v>
      </c>
      <c r="Q475" s="27" t="n">
        <v>605500</v>
      </c>
      <c r="R475" s="27" t="n">
        <v>155699</v>
      </c>
      <c r="S475" s="27" t="n">
        <v>382401</v>
      </c>
      <c r="T475" s="29" t="n">
        <v>0.758</v>
      </c>
      <c r="U475" s="29" t="n">
        <v>0.386</v>
      </c>
      <c r="V475" s="29" t="n">
        <v>0.853</v>
      </c>
      <c r="W475" s="28" t="n">
        <v>12.4</v>
      </c>
    </row>
    <row r="476" customFormat="false" ht="15" hidden="false" customHeight="false" outlineLevel="0" collapsed="false">
      <c r="A476" s="25" t="s">
        <v>708</v>
      </c>
      <c r="B476" s="25" t="s">
        <v>379</v>
      </c>
      <c r="C476" s="26" t="n">
        <v>46143</v>
      </c>
      <c r="D476" s="27" t="n">
        <v>39219</v>
      </c>
      <c r="E476" s="28" t="n">
        <v>679.5</v>
      </c>
      <c r="F476" s="29" t="n">
        <v>0.0595</v>
      </c>
      <c r="G476" s="29" t="n">
        <v>0.1651</v>
      </c>
      <c r="H476" s="30" t="n">
        <v>13.65</v>
      </c>
      <c r="I476" s="29" t="n">
        <v>0.0286</v>
      </c>
      <c r="J476" s="29" t="n">
        <v>0.0209</v>
      </c>
      <c r="K476" s="29" t="n">
        <v>0.0293</v>
      </c>
      <c r="L476" s="27" t="n">
        <v>28</v>
      </c>
      <c r="M476" s="27" t="n">
        <v>23146</v>
      </c>
      <c r="N476" s="30" t="n">
        <v>37.42</v>
      </c>
      <c r="O476" s="30" t="n">
        <v>10.83</v>
      </c>
      <c r="P476" s="29" t="n">
        <v>0.0101</v>
      </c>
      <c r="Q476" s="27" t="n">
        <v>605500</v>
      </c>
      <c r="R476" s="27" t="n">
        <v>153806</v>
      </c>
      <c r="S476" s="27" t="n">
        <v>387839</v>
      </c>
      <c r="T476" s="29" t="n">
        <v>0.789</v>
      </c>
      <c r="U476" s="29" t="n">
        <v>0.398</v>
      </c>
      <c r="V476" s="29" t="n">
        <v>0.894</v>
      </c>
      <c r="W476" s="28" t="n">
        <v>11.8</v>
      </c>
    </row>
    <row r="477" customFormat="false" ht="15" hidden="false" customHeight="false" outlineLevel="0" collapsed="false">
      <c r="A477" s="25" t="s">
        <v>709</v>
      </c>
      <c r="B477" s="25" t="s">
        <v>379</v>
      </c>
      <c r="C477" s="26" t="n">
        <v>46174</v>
      </c>
      <c r="D477" s="27" t="n">
        <v>36218</v>
      </c>
      <c r="E477" s="28" t="n">
        <v>711.4</v>
      </c>
      <c r="F477" s="29" t="n">
        <v>0.059</v>
      </c>
      <c r="G477" s="29" t="n">
        <v>0.1671</v>
      </c>
      <c r="H477" s="30" t="n">
        <v>14.1</v>
      </c>
      <c r="I477" s="29" t="n">
        <v>0.0297</v>
      </c>
      <c r="J477" s="29" t="n">
        <v>0.0208</v>
      </c>
      <c r="K477" s="29" t="n">
        <v>0.0226</v>
      </c>
      <c r="L477" s="27" t="n">
        <v>26</v>
      </c>
      <c r="M477" s="27" t="n">
        <v>23167</v>
      </c>
      <c r="N477" s="30" t="n">
        <v>37.31</v>
      </c>
      <c r="O477" s="30" t="n">
        <v>11.29</v>
      </c>
      <c r="P477" s="29" t="n">
        <v>0.0103</v>
      </c>
      <c r="Q477" s="27" t="n">
        <v>605500</v>
      </c>
      <c r="R477" s="27" t="n">
        <v>147820</v>
      </c>
      <c r="S477" s="27" t="n">
        <v>338976</v>
      </c>
      <c r="T477" s="29" t="n">
        <v>0.754</v>
      </c>
      <c r="U477" s="29" t="n">
        <v>0.39</v>
      </c>
      <c r="V477" s="29" t="n">
        <v>0.886</v>
      </c>
      <c r="W477" s="28" t="n">
        <v>11.9</v>
      </c>
    </row>
    <row r="478" customFormat="false" ht="15" hidden="false" customHeight="false" outlineLevel="0" collapsed="false">
      <c r="A478" s="25" t="s">
        <v>710</v>
      </c>
      <c r="B478" s="25" t="s">
        <v>379</v>
      </c>
      <c r="C478" s="26" t="n">
        <v>46204</v>
      </c>
      <c r="D478" s="27" t="n">
        <v>37625</v>
      </c>
      <c r="E478" s="28" t="n">
        <v>689.2</v>
      </c>
      <c r="F478" s="29" t="n">
        <v>0.0555</v>
      </c>
      <c r="G478" s="29" t="n">
        <v>0.1654</v>
      </c>
      <c r="H478" s="30" t="n">
        <v>13.89</v>
      </c>
      <c r="I478" s="29" t="n">
        <v>0.0301</v>
      </c>
      <c r="J478" s="29" t="n">
        <v>0.0205</v>
      </c>
      <c r="K478" s="29" t="n">
        <v>0.0271</v>
      </c>
      <c r="L478" s="27" t="n">
        <v>28</v>
      </c>
      <c r="M478" s="27" t="n">
        <v>23188</v>
      </c>
      <c r="N478" s="30" t="n">
        <v>37.96</v>
      </c>
      <c r="O478" s="30" t="n">
        <v>10.6</v>
      </c>
      <c r="P478" s="29" t="n">
        <v>0.0094</v>
      </c>
      <c r="Q478" s="27" t="n">
        <v>605500</v>
      </c>
      <c r="R478" s="27" t="n">
        <v>153277</v>
      </c>
      <c r="S478" s="27" t="n">
        <v>301206</v>
      </c>
      <c r="T478" s="29" t="n">
        <v>0.731</v>
      </c>
      <c r="U478" s="29" t="n">
        <v>0.419</v>
      </c>
      <c r="V478" s="29" t="n">
        <v>0.883</v>
      </c>
      <c r="W478" s="28" t="n">
        <v>11.8</v>
      </c>
    </row>
    <row r="479" customFormat="false" ht="15" hidden="false" customHeight="false" outlineLevel="0" collapsed="false">
      <c r="A479" s="25" t="s">
        <v>711</v>
      </c>
      <c r="B479" s="25" t="s">
        <v>379</v>
      </c>
      <c r="C479" s="26" t="n">
        <v>46235</v>
      </c>
      <c r="D479" s="27" t="n">
        <v>39901</v>
      </c>
      <c r="E479" s="28" t="n">
        <v>682.4</v>
      </c>
      <c r="F479" s="29" t="n">
        <v>0.0552</v>
      </c>
      <c r="G479" s="29" t="n">
        <v>0.1668</v>
      </c>
      <c r="H479" s="30" t="n">
        <v>13.33</v>
      </c>
      <c r="I479" s="29" t="n">
        <v>0.0318</v>
      </c>
      <c r="J479" s="29" t="n">
        <v>0.0202</v>
      </c>
      <c r="K479" s="29" t="n">
        <v>0.0276</v>
      </c>
      <c r="L479" s="27" t="n">
        <v>28</v>
      </c>
      <c r="M479" s="27" t="n">
        <v>23209</v>
      </c>
      <c r="N479" s="30" t="n">
        <v>38.2</v>
      </c>
      <c r="O479" s="30" t="n">
        <v>10.8</v>
      </c>
      <c r="P479" s="29" t="n">
        <v>0.0107</v>
      </c>
      <c r="Q479" s="27" t="n">
        <v>605500</v>
      </c>
      <c r="R479" s="27" t="n">
        <v>146563</v>
      </c>
      <c r="S479" s="27" t="n">
        <v>327783</v>
      </c>
      <c r="T479" s="29" t="n">
        <v>0.773</v>
      </c>
      <c r="U479" s="29" t="n">
        <v>0.412</v>
      </c>
      <c r="V479" s="29" t="n">
        <v>0.88</v>
      </c>
      <c r="W479" s="28" t="n">
        <v>11.6</v>
      </c>
    </row>
    <row r="480" customFormat="false" ht="15" hidden="false" customHeight="false" outlineLevel="0" collapsed="false">
      <c r="A480" s="25" t="s">
        <v>712</v>
      </c>
      <c r="B480" s="25" t="s">
        <v>379</v>
      </c>
      <c r="C480" s="26" t="n">
        <v>46266</v>
      </c>
      <c r="D480" s="27" t="n">
        <v>41984</v>
      </c>
      <c r="E480" s="28" t="n">
        <v>700.4</v>
      </c>
      <c r="F480" s="29" t="n">
        <v>0.055</v>
      </c>
      <c r="G480" s="29" t="n">
        <v>0.1673</v>
      </c>
      <c r="H480" s="30" t="n">
        <v>14.12</v>
      </c>
      <c r="I480" s="29" t="n">
        <v>0.0333</v>
      </c>
      <c r="J480" s="29" t="n">
        <v>0.0207</v>
      </c>
      <c r="K480" s="29" t="n">
        <v>0.0281</v>
      </c>
      <c r="L480" s="27" t="n">
        <v>31</v>
      </c>
      <c r="M480" s="27" t="n">
        <v>23230</v>
      </c>
      <c r="N480" s="30" t="n">
        <v>38.43</v>
      </c>
      <c r="O480" s="30" t="n">
        <v>10.91</v>
      </c>
      <c r="P480" s="29" t="n">
        <v>0.0099</v>
      </c>
      <c r="Q480" s="27" t="n">
        <v>605500</v>
      </c>
      <c r="R480" s="27" t="n">
        <v>152657</v>
      </c>
      <c r="S480" s="27" t="n">
        <v>309813</v>
      </c>
      <c r="T480" s="29" t="n">
        <v>0.791</v>
      </c>
      <c r="U480" s="29" t="n">
        <v>0.418</v>
      </c>
      <c r="V480" s="29" t="n">
        <v>0.885</v>
      </c>
      <c r="W480" s="28" t="n">
        <v>11.9</v>
      </c>
    </row>
    <row r="481" customFormat="false" ht="15" hidden="false" customHeight="false" outlineLevel="0" collapsed="false">
      <c r="A481" s="25" t="s">
        <v>713</v>
      </c>
      <c r="B481" s="25" t="s">
        <v>378</v>
      </c>
      <c r="C481" s="26" t="n">
        <v>45931</v>
      </c>
      <c r="D481" s="27" t="n">
        <v>31756</v>
      </c>
      <c r="E481" s="28" t="n">
        <v>656.2</v>
      </c>
      <c r="F481" s="29" t="n">
        <v>0.0554</v>
      </c>
      <c r="G481" s="29" t="n">
        <v>0.1711</v>
      </c>
      <c r="H481" s="30" t="n">
        <v>14.83</v>
      </c>
      <c r="I481" s="29" t="n">
        <v>0.0271</v>
      </c>
      <c r="J481" s="29" t="n">
        <v>0.0184</v>
      </c>
      <c r="K481" s="29" t="n">
        <v>0.0222</v>
      </c>
      <c r="L481" s="27" t="n">
        <v>27</v>
      </c>
      <c r="M481" s="27" t="n">
        <v>23000</v>
      </c>
      <c r="N481" s="30" t="n">
        <v>40.24</v>
      </c>
      <c r="O481" s="30" t="n">
        <v>10.89</v>
      </c>
      <c r="P481" s="29" t="n">
        <v>0.0102</v>
      </c>
      <c r="Q481" s="27" t="n">
        <v>1020000</v>
      </c>
      <c r="R481" s="27" t="n">
        <v>194846</v>
      </c>
      <c r="S481" s="27" t="n">
        <v>193618</v>
      </c>
      <c r="T481" s="29" t="n">
        <v>0.776</v>
      </c>
      <c r="U481" s="29" t="n">
        <v>0.415</v>
      </c>
      <c r="V481" s="29" t="n">
        <v>0.899</v>
      </c>
      <c r="W481" s="28" t="n">
        <v>11.3</v>
      </c>
    </row>
    <row r="482" customFormat="false" ht="15" hidden="false" customHeight="false" outlineLevel="0" collapsed="false">
      <c r="A482" s="25" t="s">
        <v>714</v>
      </c>
      <c r="B482" s="25" t="s">
        <v>378</v>
      </c>
      <c r="C482" s="26" t="n">
        <v>45962</v>
      </c>
      <c r="D482" s="27" t="n">
        <v>32601</v>
      </c>
      <c r="E482" s="28" t="n">
        <v>701</v>
      </c>
      <c r="F482" s="29" t="n">
        <v>0.0532</v>
      </c>
      <c r="G482" s="29" t="n">
        <v>0.1718</v>
      </c>
      <c r="H482" s="30" t="n">
        <v>14.3</v>
      </c>
      <c r="I482" s="29" t="n">
        <v>0.0298</v>
      </c>
      <c r="J482" s="29" t="n">
        <v>0.0171</v>
      </c>
      <c r="K482" s="29" t="n">
        <v>0.0243</v>
      </c>
      <c r="L482" s="27" t="n">
        <v>29</v>
      </c>
      <c r="M482" s="27" t="n">
        <v>23021</v>
      </c>
      <c r="N482" s="30" t="n">
        <v>40.04</v>
      </c>
      <c r="O482" s="30" t="n">
        <v>10.96</v>
      </c>
      <c r="P482" s="29" t="n">
        <v>0.0101</v>
      </c>
      <c r="Q482" s="27" t="n">
        <v>1020000</v>
      </c>
      <c r="R482" s="27" t="n">
        <v>184045</v>
      </c>
      <c r="S482" s="27" t="n">
        <v>217073</v>
      </c>
      <c r="T482" s="29" t="n">
        <v>0.794</v>
      </c>
      <c r="U482" s="29" t="n">
        <v>0.388</v>
      </c>
      <c r="V482" s="29" t="n">
        <v>0.879</v>
      </c>
      <c r="W482" s="28" t="n">
        <v>11.5</v>
      </c>
    </row>
    <row r="483" customFormat="false" ht="15" hidden="false" customHeight="false" outlineLevel="0" collapsed="false">
      <c r="A483" s="25" t="s">
        <v>715</v>
      </c>
      <c r="B483" s="25" t="s">
        <v>378</v>
      </c>
      <c r="C483" s="26" t="n">
        <v>45992</v>
      </c>
      <c r="D483" s="27" t="n">
        <v>33560</v>
      </c>
      <c r="E483" s="28" t="n">
        <v>692.7</v>
      </c>
      <c r="F483" s="29" t="n">
        <v>0.0548</v>
      </c>
      <c r="G483" s="29" t="n">
        <v>0.1702</v>
      </c>
      <c r="H483" s="30" t="n">
        <v>14.4</v>
      </c>
      <c r="I483" s="29" t="n">
        <v>0.0276</v>
      </c>
      <c r="J483" s="29" t="n">
        <v>0.0161</v>
      </c>
      <c r="K483" s="29" t="n">
        <v>0.0265</v>
      </c>
      <c r="L483" s="27" t="n">
        <v>30</v>
      </c>
      <c r="M483" s="27" t="n">
        <v>23042</v>
      </c>
      <c r="N483" s="30" t="n">
        <v>39.76</v>
      </c>
      <c r="O483" s="30" t="n">
        <v>11.1</v>
      </c>
      <c r="P483" s="29" t="n">
        <v>0.0102</v>
      </c>
      <c r="Q483" s="27" t="n">
        <v>1020000</v>
      </c>
      <c r="R483" s="27" t="n">
        <v>191550</v>
      </c>
      <c r="S483" s="27" t="n">
        <v>209984</v>
      </c>
      <c r="T483" s="29" t="n">
        <v>0.793</v>
      </c>
      <c r="U483" s="29" t="n">
        <v>0.403</v>
      </c>
      <c r="V483" s="29" t="n">
        <v>0.886</v>
      </c>
      <c r="W483" s="28" t="n">
        <v>11.7</v>
      </c>
    </row>
    <row r="484" customFormat="false" ht="15" hidden="false" customHeight="false" outlineLevel="0" collapsed="false">
      <c r="A484" s="25" t="s">
        <v>716</v>
      </c>
      <c r="B484" s="25" t="s">
        <v>378</v>
      </c>
      <c r="C484" s="26" t="n">
        <v>46023</v>
      </c>
      <c r="D484" s="27" t="n">
        <v>30452</v>
      </c>
      <c r="E484" s="28" t="n">
        <v>683.9</v>
      </c>
      <c r="F484" s="29" t="n">
        <v>0.0509</v>
      </c>
      <c r="G484" s="29" t="n">
        <v>0.1705</v>
      </c>
      <c r="H484" s="30" t="n">
        <v>14.2</v>
      </c>
      <c r="I484" s="29" t="n">
        <v>0.0283</v>
      </c>
      <c r="J484" s="29" t="n">
        <v>0.0165</v>
      </c>
      <c r="K484" s="29" t="n">
        <v>0.0277</v>
      </c>
      <c r="L484" s="27" t="n">
        <v>27</v>
      </c>
      <c r="M484" s="27" t="n">
        <v>23063</v>
      </c>
      <c r="N484" s="30" t="n">
        <v>39.04</v>
      </c>
      <c r="O484" s="30" t="n">
        <v>10.73</v>
      </c>
      <c r="P484" s="29" t="n">
        <v>0.0101</v>
      </c>
      <c r="Q484" s="27" t="n">
        <v>1020000</v>
      </c>
      <c r="R484" s="27" t="n">
        <v>186329</v>
      </c>
      <c r="S484" s="27" t="n">
        <v>172343</v>
      </c>
      <c r="T484" s="29" t="n">
        <v>0.786</v>
      </c>
      <c r="U484" s="29" t="n">
        <v>0.414</v>
      </c>
      <c r="V484" s="29" t="n">
        <v>0.888</v>
      </c>
      <c r="W484" s="28" t="n">
        <v>11.6</v>
      </c>
    </row>
    <row r="485" customFormat="false" ht="15" hidden="false" customHeight="false" outlineLevel="0" collapsed="false">
      <c r="A485" s="25" t="s">
        <v>717</v>
      </c>
      <c r="B485" s="25" t="s">
        <v>378</v>
      </c>
      <c r="C485" s="26" t="n">
        <v>46054</v>
      </c>
      <c r="D485" s="27" t="n">
        <v>31220</v>
      </c>
      <c r="E485" s="28" t="n">
        <v>704.3</v>
      </c>
      <c r="F485" s="29" t="n">
        <v>0.0552</v>
      </c>
      <c r="G485" s="29" t="n">
        <v>0.1742</v>
      </c>
      <c r="H485" s="30" t="n">
        <v>13.89</v>
      </c>
      <c r="I485" s="29" t="n">
        <v>0.0289</v>
      </c>
      <c r="J485" s="29" t="n">
        <v>0.0168</v>
      </c>
      <c r="K485" s="29" t="n">
        <v>0.0205</v>
      </c>
      <c r="L485" s="27" t="n">
        <v>29</v>
      </c>
      <c r="M485" s="27" t="n">
        <v>23084</v>
      </c>
      <c r="N485" s="30" t="n">
        <v>39.77</v>
      </c>
      <c r="O485" s="30" t="n">
        <v>10.72</v>
      </c>
      <c r="P485" s="29" t="n">
        <v>0.0101</v>
      </c>
      <c r="Q485" s="27" t="n">
        <v>1020000</v>
      </c>
      <c r="R485" s="27" t="n">
        <v>191760</v>
      </c>
      <c r="S485" s="27" t="n">
        <v>192975</v>
      </c>
      <c r="T485" s="29" t="n">
        <v>0.824</v>
      </c>
      <c r="U485" s="29" t="n">
        <v>0.419</v>
      </c>
      <c r="V485" s="29" t="n">
        <v>0.907</v>
      </c>
      <c r="W485" s="28" t="n">
        <v>11.1</v>
      </c>
    </row>
    <row r="486" customFormat="false" ht="15" hidden="false" customHeight="false" outlineLevel="0" collapsed="false">
      <c r="A486" s="25" t="s">
        <v>718</v>
      </c>
      <c r="B486" s="25" t="s">
        <v>378</v>
      </c>
      <c r="C486" s="26" t="n">
        <v>46082</v>
      </c>
      <c r="D486" s="27" t="n">
        <v>33304</v>
      </c>
      <c r="E486" s="28" t="n">
        <v>696.2</v>
      </c>
      <c r="F486" s="29" t="n">
        <v>0.056</v>
      </c>
      <c r="G486" s="29" t="n">
        <v>0.1687</v>
      </c>
      <c r="H486" s="30" t="n">
        <v>14.06</v>
      </c>
      <c r="I486" s="29" t="n">
        <v>0.0288</v>
      </c>
      <c r="J486" s="29" t="n">
        <v>0.017</v>
      </c>
      <c r="K486" s="29" t="n">
        <v>0.0234</v>
      </c>
      <c r="L486" s="27" t="n">
        <v>30</v>
      </c>
      <c r="M486" s="27" t="n">
        <v>23105</v>
      </c>
      <c r="N486" s="30" t="n">
        <v>40.35</v>
      </c>
      <c r="O486" s="30" t="n">
        <v>10.85</v>
      </c>
      <c r="P486" s="29" t="n">
        <v>0.0101</v>
      </c>
      <c r="Q486" s="27" t="n">
        <v>1020000</v>
      </c>
      <c r="R486" s="27" t="n">
        <v>197173</v>
      </c>
      <c r="S486" s="27" t="n">
        <v>210633</v>
      </c>
      <c r="T486" s="29" t="n">
        <v>0.812</v>
      </c>
      <c r="U486" s="29" t="n">
        <v>0.415</v>
      </c>
      <c r="V486" s="29" t="n">
        <v>0.889</v>
      </c>
      <c r="W486" s="28" t="n">
        <v>11.8</v>
      </c>
    </row>
    <row r="487" customFormat="false" ht="15" hidden="false" customHeight="false" outlineLevel="0" collapsed="false">
      <c r="A487" s="25" t="s">
        <v>719</v>
      </c>
      <c r="B487" s="25" t="s">
        <v>378</v>
      </c>
      <c r="C487" s="26" t="n">
        <v>46113</v>
      </c>
      <c r="D487" s="27" t="n">
        <v>34743</v>
      </c>
      <c r="E487" s="28" t="n">
        <v>682.3</v>
      </c>
      <c r="F487" s="29" t="n">
        <v>0.0569</v>
      </c>
      <c r="G487" s="29" t="n">
        <v>0.1725</v>
      </c>
      <c r="H487" s="30" t="n">
        <v>14.15</v>
      </c>
      <c r="I487" s="29" t="n">
        <v>0.0304</v>
      </c>
      <c r="J487" s="29" t="n">
        <v>0.0153</v>
      </c>
      <c r="K487" s="29" t="n">
        <v>0.0224</v>
      </c>
      <c r="L487" s="27" t="n">
        <v>32</v>
      </c>
      <c r="M487" s="27" t="n">
        <v>23125</v>
      </c>
      <c r="N487" s="30" t="n">
        <v>40.11</v>
      </c>
      <c r="O487" s="30" t="n">
        <v>10.92</v>
      </c>
      <c r="P487" s="29" t="n">
        <v>0.0096</v>
      </c>
      <c r="Q487" s="27" t="n">
        <v>1020000</v>
      </c>
      <c r="R487" s="27" t="n">
        <v>186956</v>
      </c>
      <c r="S487" s="27" t="n">
        <v>190022</v>
      </c>
      <c r="T487" s="29" t="n">
        <v>0.823</v>
      </c>
      <c r="U487" s="29" t="n">
        <v>0.414</v>
      </c>
      <c r="V487" s="29" t="n">
        <v>0.908</v>
      </c>
      <c r="W487" s="28" t="n">
        <v>11.3</v>
      </c>
    </row>
    <row r="488" customFormat="false" ht="15" hidden="false" customHeight="false" outlineLevel="0" collapsed="false">
      <c r="A488" s="25" t="s">
        <v>720</v>
      </c>
      <c r="B488" s="25" t="s">
        <v>378</v>
      </c>
      <c r="C488" s="26" t="n">
        <v>46143</v>
      </c>
      <c r="D488" s="27" t="n">
        <v>36761</v>
      </c>
      <c r="E488" s="28" t="n">
        <v>677.6</v>
      </c>
      <c r="F488" s="29" t="n">
        <v>0.05</v>
      </c>
      <c r="G488" s="29" t="n">
        <v>0.1684</v>
      </c>
      <c r="H488" s="30" t="n">
        <v>14.32</v>
      </c>
      <c r="I488" s="29" t="n">
        <v>0.0305</v>
      </c>
      <c r="J488" s="29" t="n">
        <v>0.0158</v>
      </c>
      <c r="K488" s="29" t="n">
        <v>0.0211</v>
      </c>
      <c r="L488" s="27" t="n">
        <v>33</v>
      </c>
      <c r="M488" s="27" t="n">
        <v>23146</v>
      </c>
      <c r="N488" s="30" t="n">
        <v>40.02</v>
      </c>
      <c r="O488" s="30" t="n">
        <v>10.95</v>
      </c>
      <c r="P488" s="29" t="n">
        <v>0.0098</v>
      </c>
      <c r="Q488" s="27" t="n">
        <v>1020000</v>
      </c>
      <c r="R488" s="27" t="n">
        <v>181180</v>
      </c>
      <c r="S488" s="27" t="n">
        <v>186439</v>
      </c>
      <c r="T488" s="29" t="n">
        <v>0.791</v>
      </c>
      <c r="U488" s="29" t="n">
        <v>0.416</v>
      </c>
      <c r="V488" s="29" t="n">
        <v>0.898</v>
      </c>
      <c r="W488" s="28" t="n">
        <v>11.4</v>
      </c>
    </row>
    <row r="489" customFormat="false" ht="15" hidden="false" customHeight="false" outlineLevel="0" collapsed="false">
      <c r="A489" s="25" t="s">
        <v>721</v>
      </c>
      <c r="B489" s="25" t="s">
        <v>378</v>
      </c>
      <c r="C489" s="26" t="n">
        <v>46174</v>
      </c>
      <c r="D489" s="27" t="n">
        <v>37140</v>
      </c>
      <c r="E489" s="28" t="n">
        <v>705.7</v>
      </c>
      <c r="F489" s="29" t="n">
        <v>0.0494</v>
      </c>
      <c r="G489" s="29" t="n">
        <v>0.1686</v>
      </c>
      <c r="H489" s="30" t="n">
        <v>14.18</v>
      </c>
      <c r="I489" s="29" t="n">
        <v>0.0316</v>
      </c>
      <c r="J489" s="29" t="n">
        <v>0.017</v>
      </c>
      <c r="K489" s="29" t="n">
        <v>0.0311</v>
      </c>
      <c r="L489" s="27" t="n">
        <v>34</v>
      </c>
      <c r="M489" s="27" t="n">
        <v>23167</v>
      </c>
      <c r="N489" s="30" t="n">
        <v>39.47</v>
      </c>
      <c r="O489" s="30" t="n">
        <v>10.97</v>
      </c>
      <c r="P489" s="29" t="n">
        <v>0.0103</v>
      </c>
      <c r="Q489" s="27" t="n">
        <v>1020000</v>
      </c>
      <c r="R489" s="27" t="n">
        <v>205800</v>
      </c>
      <c r="S489" s="27" t="n">
        <v>208957</v>
      </c>
      <c r="T489" s="29" t="n">
        <v>0.828</v>
      </c>
      <c r="U489" s="29" t="n">
        <v>0.419</v>
      </c>
      <c r="V489" s="29" t="n">
        <v>0.868</v>
      </c>
      <c r="W489" s="28" t="n">
        <v>11.9</v>
      </c>
    </row>
    <row r="490" customFormat="false" ht="15" hidden="false" customHeight="false" outlineLevel="0" collapsed="false">
      <c r="A490" s="25" t="s">
        <v>722</v>
      </c>
      <c r="B490" s="25" t="s">
        <v>378</v>
      </c>
      <c r="C490" s="26" t="n">
        <v>46204</v>
      </c>
      <c r="D490" s="27" t="n">
        <v>33248</v>
      </c>
      <c r="E490" s="28" t="n">
        <v>687.9</v>
      </c>
      <c r="F490" s="29" t="n">
        <v>0.0529</v>
      </c>
      <c r="G490" s="29" t="n">
        <v>0.1725</v>
      </c>
      <c r="H490" s="30" t="n">
        <v>14.47</v>
      </c>
      <c r="I490" s="29" t="n">
        <v>0.0286</v>
      </c>
      <c r="J490" s="29" t="n">
        <v>0.0151</v>
      </c>
      <c r="K490" s="29" t="n">
        <v>0.0259</v>
      </c>
      <c r="L490" s="27" t="n">
        <v>28</v>
      </c>
      <c r="M490" s="27" t="n">
        <v>23188</v>
      </c>
      <c r="N490" s="30" t="n">
        <v>38.95</v>
      </c>
      <c r="O490" s="30" t="n">
        <v>10.95</v>
      </c>
      <c r="P490" s="29" t="n">
        <v>0.0103</v>
      </c>
      <c r="Q490" s="27" t="n">
        <v>1020000</v>
      </c>
      <c r="R490" s="27" t="n">
        <v>191492</v>
      </c>
      <c r="S490" s="27" t="n">
        <v>182395</v>
      </c>
      <c r="T490" s="29" t="n">
        <v>0.843</v>
      </c>
      <c r="U490" s="29" t="n">
        <v>0.408</v>
      </c>
      <c r="V490" s="29" t="n">
        <v>0.879</v>
      </c>
      <c r="W490" s="28" t="n">
        <v>11.3</v>
      </c>
    </row>
    <row r="491" customFormat="false" ht="15" hidden="false" customHeight="false" outlineLevel="0" collapsed="false">
      <c r="A491" s="25" t="s">
        <v>723</v>
      </c>
      <c r="B491" s="25" t="s">
        <v>378</v>
      </c>
      <c r="C491" s="26" t="n">
        <v>46235</v>
      </c>
      <c r="D491" s="27" t="n">
        <v>32952</v>
      </c>
      <c r="E491" s="28" t="n">
        <v>688.5</v>
      </c>
      <c r="F491" s="29" t="n">
        <v>0.0536</v>
      </c>
      <c r="G491" s="29" t="n">
        <v>0.1738</v>
      </c>
      <c r="H491" s="30" t="n">
        <v>14.26</v>
      </c>
      <c r="I491" s="29" t="n">
        <v>0.0285</v>
      </c>
      <c r="J491" s="29" t="n">
        <v>0.0158</v>
      </c>
      <c r="K491" s="29" t="n">
        <v>0.0117</v>
      </c>
      <c r="L491" s="27" t="n">
        <v>28</v>
      </c>
      <c r="M491" s="27" t="n">
        <v>23209</v>
      </c>
      <c r="N491" s="30" t="n">
        <v>39.87</v>
      </c>
      <c r="O491" s="30" t="n">
        <v>10.49</v>
      </c>
      <c r="P491" s="29" t="n">
        <v>0.0104</v>
      </c>
      <c r="Q491" s="27" t="n">
        <v>1020000</v>
      </c>
      <c r="R491" s="27" t="n">
        <v>187170</v>
      </c>
      <c r="S491" s="27" t="n">
        <v>159297</v>
      </c>
      <c r="T491" s="29" t="n">
        <v>0.812</v>
      </c>
      <c r="U491" s="29" t="n">
        <v>0.422</v>
      </c>
      <c r="V491" s="29" t="n">
        <v>0.904</v>
      </c>
      <c r="W491" s="28" t="n">
        <v>11.1</v>
      </c>
    </row>
    <row r="492" customFormat="false" ht="15" hidden="false" customHeight="false" outlineLevel="0" collapsed="false">
      <c r="A492" s="25" t="s">
        <v>724</v>
      </c>
      <c r="B492" s="25" t="s">
        <v>378</v>
      </c>
      <c r="C492" s="26" t="n">
        <v>46266</v>
      </c>
      <c r="D492" s="27" t="n">
        <v>36018</v>
      </c>
      <c r="E492" s="28" t="n">
        <v>679.9</v>
      </c>
      <c r="F492" s="29" t="n">
        <v>0.0534</v>
      </c>
      <c r="G492" s="29" t="n">
        <v>0.174</v>
      </c>
      <c r="H492" s="30" t="n">
        <v>14.31</v>
      </c>
      <c r="I492" s="29" t="n">
        <v>0.0298</v>
      </c>
      <c r="J492" s="29" t="n">
        <v>0.0153</v>
      </c>
      <c r="K492" s="29" t="n">
        <v>0.0248</v>
      </c>
      <c r="L492" s="27" t="n">
        <v>32</v>
      </c>
      <c r="M492" s="27" t="n">
        <v>23230</v>
      </c>
      <c r="N492" s="30" t="n">
        <v>39.29</v>
      </c>
      <c r="O492" s="30" t="n">
        <v>10.92</v>
      </c>
      <c r="P492" s="29" t="n">
        <v>0.0102</v>
      </c>
      <c r="Q492" s="27" t="n">
        <v>1020000</v>
      </c>
      <c r="R492" s="27" t="n">
        <v>192745</v>
      </c>
      <c r="S492" s="27" t="n">
        <v>195440</v>
      </c>
      <c r="T492" s="29" t="n">
        <v>0.799</v>
      </c>
      <c r="U492" s="29" t="n">
        <v>0.4</v>
      </c>
      <c r="V492" s="29" t="n">
        <v>0.901</v>
      </c>
      <c r="W492" s="28" t="n">
        <v>11.3</v>
      </c>
    </row>
    <row r="493" customFormat="false" ht="15" hidden="false" customHeight="false" outlineLevel="0" collapsed="false">
      <c r="A493" s="25" t="s">
        <v>725</v>
      </c>
      <c r="B493" s="25" t="s">
        <v>380</v>
      </c>
      <c r="C493" s="26" t="n">
        <v>45931</v>
      </c>
      <c r="D493" s="27" t="n">
        <v>30708</v>
      </c>
      <c r="E493" s="28" t="n">
        <v>631.3</v>
      </c>
      <c r="F493" s="29" t="n">
        <v>0.059</v>
      </c>
      <c r="G493" s="29" t="n">
        <v>0.1671</v>
      </c>
      <c r="H493" s="30" t="n">
        <v>12.08</v>
      </c>
      <c r="I493" s="29" t="n">
        <v>0.0268</v>
      </c>
      <c r="J493" s="29" t="n">
        <v>0.0169</v>
      </c>
      <c r="K493" s="29" t="n">
        <v>0.0301</v>
      </c>
      <c r="L493" s="27" t="n">
        <v>23</v>
      </c>
      <c r="M493" s="27" t="n">
        <v>23000</v>
      </c>
      <c r="N493" s="30" t="n">
        <v>41.78</v>
      </c>
      <c r="O493" s="30" t="n">
        <v>10.75</v>
      </c>
      <c r="P493" s="29" t="n">
        <v>0.0102</v>
      </c>
      <c r="Q493" s="27" t="n">
        <v>1272000</v>
      </c>
      <c r="R493" s="27" t="n">
        <v>153418</v>
      </c>
      <c r="S493" s="27" t="n">
        <v>271036</v>
      </c>
      <c r="T493" s="29" t="n">
        <v>0.724</v>
      </c>
      <c r="U493" s="29" t="n">
        <v>0.254</v>
      </c>
      <c r="V493" s="29" t="n">
        <v>0.88</v>
      </c>
      <c r="W493" s="28" t="n">
        <v>11.5</v>
      </c>
    </row>
    <row r="494" customFormat="false" ht="15" hidden="false" customHeight="false" outlineLevel="0" collapsed="false">
      <c r="A494" s="25" t="s">
        <v>726</v>
      </c>
      <c r="B494" s="25" t="s">
        <v>380</v>
      </c>
      <c r="C494" s="26" t="n">
        <v>45962</v>
      </c>
      <c r="D494" s="27" t="n">
        <v>31358</v>
      </c>
      <c r="E494" s="28" t="n">
        <v>652.8</v>
      </c>
      <c r="F494" s="29" t="n">
        <v>0.0544</v>
      </c>
      <c r="G494" s="29" t="n">
        <v>0.1722</v>
      </c>
      <c r="H494" s="30" t="n">
        <v>12.56</v>
      </c>
      <c r="I494" s="29" t="n">
        <v>0.0291</v>
      </c>
      <c r="J494" s="29" t="n">
        <v>0.0177</v>
      </c>
      <c r="K494" s="29" t="n">
        <v>0.0256</v>
      </c>
      <c r="L494" s="27" t="n">
        <v>25</v>
      </c>
      <c r="M494" s="27" t="n">
        <v>23021</v>
      </c>
      <c r="N494" s="30" t="n">
        <v>42.91</v>
      </c>
      <c r="O494" s="30" t="n">
        <v>10.72</v>
      </c>
      <c r="P494" s="29" t="n">
        <v>0.0096</v>
      </c>
      <c r="Q494" s="27" t="n">
        <v>1272000</v>
      </c>
      <c r="R494" s="27" t="n">
        <v>155314</v>
      </c>
      <c r="S494" s="27" t="n">
        <v>259864</v>
      </c>
      <c r="T494" s="29" t="n">
        <v>0.774</v>
      </c>
      <c r="U494" s="29" t="n">
        <v>0.258</v>
      </c>
      <c r="V494" s="29" t="n">
        <v>0.876</v>
      </c>
      <c r="W494" s="28" t="n">
        <v>12.2</v>
      </c>
    </row>
    <row r="495" customFormat="false" ht="15" hidden="false" customHeight="false" outlineLevel="0" collapsed="false">
      <c r="A495" s="25" t="s">
        <v>727</v>
      </c>
      <c r="B495" s="25" t="s">
        <v>380</v>
      </c>
      <c r="C495" s="26" t="n">
        <v>45992</v>
      </c>
      <c r="D495" s="27" t="n">
        <v>31417</v>
      </c>
      <c r="E495" s="28" t="n">
        <v>624.2</v>
      </c>
      <c r="F495" s="29" t="n">
        <v>0.0613</v>
      </c>
      <c r="G495" s="29" t="n">
        <v>0.1687</v>
      </c>
      <c r="H495" s="30" t="n">
        <v>12.42</v>
      </c>
      <c r="I495" s="29" t="n">
        <v>0.0279</v>
      </c>
      <c r="J495" s="29" t="n">
        <v>0.0175</v>
      </c>
      <c r="K495" s="29" t="n">
        <v>0.0338</v>
      </c>
      <c r="L495" s="27" t="n">
        <v>24</v>
      </c>
      <c r="M495" s="27" t="n">
        <v>23042</v>
      </c>
      <c r="N495" s="30" t="n">
        <v>43.99</v>
      </c>
      <c r="O495" s="30" t="n">
        <v>10.82</v>
      </c>
      <c r="P495" s="29" t="n">
        <v>0.0099</v>
      </c>
      <c r="Q495" s="27" t="n">
        <v>1272000</v>
      </c>
      <c r="R495" s="27" t="n">
        <v>160905</v>
      </c>
      <c r="S495" s="27" t="n">
        <v>242943</v>
      </c>
      <c r="T495" s="29" t="n">
        <v>0.744</v>
      </c>
      <c r="U495" s="29" t="n">
        <v>0.259</v>
      </c>
      <c r="V495" s="29" t="n">
        <v>0.87</v>
      </c>
      <c r="W495" s="28" t="n">
        <v>12.5</v>
      </c>
    </row>
    <row r="496" customFormat="false" ht="15" hidden="false" customHeight="false" outlineLevel="0" collapsed="false">
      <c r="A496" s="25" t="s">
        <v>728</v>
      </c>
      <c r="B496" s="25" t="s">
        <v>380</v>
      </c>
      <c r="C496" s="26" t="n">
        <v>46023</v>
      </c>
      <c r="D496" s="27" t="n">
        <v>32112</v>
      </c>
      <c r="E496" s="28" t="n">
        <v>635.9</v>
      </c>
      <c r="F496" s="29" t="n">
        <v>0.0571</v>
      </c>
      <c r="G496" s="29" t="n">
        <v>0.1659</v>
      </c>
      <c r="H496" s="30" t="n">
        <v>11.89</v>
      </c>
      <c r="I496" s="29" t="n">
        <v>0.0285</v>
      </c>
      <c r="J496" s="29" t="n">
        <v>0.0192</v>
      </c>
      <c r="K496" s="29" t="n">
        <v>0.0281</v>
      </c>
      <c r="L496" s="27" t="n">
        <v>24</v>
      </c>
      <c r="M496" s="27" t="n">
        <v>23063</v>
      </c>
      <c r="N496" s="30" t="n">
        <v>42.26</v>
      </c>
      <c r="O496" s="30" t="n">
        <v>10.93</v>
      </c>
      <c r="P496" s="29" t="n">
        <v>0.0101</v>
      </c>
      <c r="Q496" s="27" t="n">
        <v>1272000</v>
      </c>
      <c r="R496" s="27" t="n">
        <v>156512</v>
      </c>
      <c r="S496" s="27" t="n">
        <v>259381</v>
      </c>
      <c r="T496" s="29" t="n">
        <v>0.748</v>
      </c>
      <c r="U496" s="29" t="n">
        <v>0.268</v>
      </c>
      <c r="V496" s="29" t="n">
        <v>0.882</v>
      </c>
      <c r="W496" s="28" t="n">
        <v>12.3</v>
      </c>
    </row>
    <row r="497" customFormat="false" ht="15" hidden="false" customHeight="false" outlineLevel="0" collapsed="false">
      <c r="A497" s="25" t="s">
        <v>729</v>
      </c>
      <c r="B497" s="25" t="s">
        <v>380</v>
      </c>
      <c r="C497" s="26" t="n">
        <v>46054</v>
      </c>
      <c r="D497" s="27" t="n">
        <v>29705</v>
      </c>
      <c r="E497" s="28" t="n">
        <v>656.7</v>
      </c>
      <c r="F497" s="29" t="n">
        <v>0.0579</v>
      </c>
      <c r="G497" s="29" t="n">
        <v>0.1665</v>
      </c>
      <c r="H497" s="30" t="n">
        <v>11.9</v>
      </c>
      <c r="I497" s="29" t="n">
        <v>0.028</v>
      </c>
      <c r="J497" s="29" t="n">
        <v>0.0172</v>
      </c>
      <c r="K497" s="29" t="n">
        <v>0.023</v>
      </c>
      <c r="L497" s="27" t="n">
        <v>23</v>
      </c>
      <c r="M497" s="27" t="n">
        <v>23084</v>
      </c>
      <c r="N497" s="30" t="n">
        <v>43.23</v>
      </c>
      <c r="O497" s="30" t="n">
        <v>11</v>
      </c>
      <c r="P497" s="29" t="n">
        <v>0.0094</v>
      </c>
      <c r="Q497" s="27" t="n">
        <v>1272000</v>
      </c>
      <c r="R497" s="27" t="n">
        <v>165484</v>
      </c>
      <c r="S497" s="27" t="n">
        <v>230231</v>
      </c>
      <c r="T497" s="29" t="n">
        <v>0.813</v>
      </c>
      <c r="U497" s="29" t="n">
        <v>0.273</v>
      </c>
      <c r="V497" s="29" t="n">
        <v>0.877</v>
      </c>
      <c r="W497" s="28" t="n">
        <v>11.8</v>
      </c>
    </row>
    <row r="498" customFormat="false" ht="15" hidden="false" customHeight="false" outlineLevel="0" collapsed="false">
      <c r="A498" s="25" t="s">
        <v>730</v>
      </c>
      <c r="B498" s="25" t="s">
        <v>380</v>
      </c>
      <c r="C498" s="26" t="n">
        <v>46082</v>
      </c>
      <c r="D498" s="27" t="n">
        <v>35613</v>
      </c>
      <c r="E498" s="28" t="n">
        <v>638.1</v>
      </c>
      <c r="F498" s="29" t="n">
        <v>0.0552</v>
      </c>
      <c r="G498" s="29" t="n">
        <v>0.1715</v>
      </c>
      <c r="H498" s="30" t="n">
        <v>12.03</v>
      </c>
      <c r="I498" s="29" t="n">
        <v>0.0299</v>
      </c>
      <c r="J498" s="29" t="n">
        <v>0.0177</v>
      </c>
      <c r="K498" s="29" t="n">
        <v>0.0285</v>
      </c>
      <c r="L498" s="27" t="n">
        <v>26</v>
      </c>
      <c r="M498" s="27" t="n">
        <v>23105</v>
      </c>
      <c r="N498" s="30" t="n">
        <v>42.41</v>
      </c>
      <c r="O498" s="30" t="n">
        <v>10.91</v>
      </c>
      <c r="P498" s="29" t="n">
        <v>0.0097</v>
      </c>
      <c r="Q498" s="27" t="n">
        <v>1272000</v>
      </c>
      <c r="R498" s="27" t="n">
        <v>153795</v>
      </c>
      <c r="S498" s="27" t="n">
        <v>234310</v>
      </c>
      <c r="T498" s="29" t="n">
        <v>0.762</v>
      </c>
      <c r="U498" s="29" t="n">
        <v>0.273</v>
      </c>
      <c r="V498" s="29" t="n">
        <v>0.875</v>
      </c>
      <c r="W498" s="28" t="n">
        <v>12.3</v>
      </c>
    </row>
    <row r="499" customFormat="false" ht="15" hidden="false" customHeight="false" outlineLevel="0" collapsed="false">
      <c r="A499" s="25" t="s">
        <v>731</v>
      </c>
      <c r="B499" s="25" t="s">
        <v>380</v>
      </c>
      <c r="C499" s="26" t="n">
        <v>46113</v>
      </c>
      <c r="D499" s="27" t="n">
        <v>36084</v>
      </c>
      <c r="E499" s="28" t="n">
        <v>635.5</v>
      </c>
      <c r="F499" s="29" t="n">
        <v>0.0551</v>
      </c>
      <c r="G499" s="29" t="n">
        <v>0.1711</v>
      </c>
      <c r="H499" s="30" t="n">
        <v>11.84</v>
      </c>
      <c r="I499" s="29" t="n">
        <v>0.0313</v>
      </c>
      <c r="J499" s="29" t="n">
        <v>0.0182</v>
      </c>
      <c r="K499" s="29" t="n">
        <v>0.0317</v>
      </c>
      <c r="L499" s="27" t="n">
        <v>27</v>
      </c>
      <c r="M499" s="27" t="n">
        <v>23125</v>
      </c>
      <c r="N499" s="30" t="n">
        <v>43.13</v>
      </c>
      <c r="O499" s="30" t="n">
        <v>10.61</v>
      </c>
      <c r="P499" s="29" t="n">
        <v>0.0099</v>
      </c>
      <c r="Q499" s="27" t="n">
        <v>1272000</v>
      </c>
      <c r="R499" s="27" t="n">
        <v>168475</v>
      </c>
      <c r="S499" s="27" t="n">
        <v>233449</v>
      </c>
      <c r="T499" s="29" t="n">
        <v>0.786</v>
      </c>
      <c r="U499" s="29" t="n">
        <v>0.267</v>
      </c>
      <c r="V499" s="29" t="n">
        <v>0.884</v>
      </c>
      <c r="W499" s="28" t="n">
        <v>11.8</v>
      </c>
    </row>
    <row r="500" customFormat="false" ht="15" hidden="false" customHeight="false" outlineLevel="0" collapsed="false">
      <c r="A500" s="25" t="s">
        <v>732</v>
      </c>
      <c r="B500" s="25" t="s">
        <v>380</v>
      </c>
      <c r="C500" s="26" t="n">
        <v>46143</v>
      </c>
      <c r="D500" s="27" t="n">
        <v>40191</v>
      </c>
      <c r="E500" s="28" t="n">
        <v>650.8</v>
      </c>
      <c r="F500" s="29" t="n">
        <v>0.0541</v>
      </c>
      <c r="G500" s="29" t="n">
        <v>0.1702</v>
      </c>
      <c r="H500" s="30" t="n">
        <v>12.04</v>
      </c>
      <c r="I500" s="29" t="n">
        <v>0.0325</v>
      </c>
      <c r="J500" s="29" t="n">
        <v>0.0173</v>
      </c>
      <c r="K500" s="29" t="n">
        <v>0.0261</v>
      </c>
      <c r="L500" s="27" t="n">
        <v>28</v>
      </c>
      <c r="M500" s="27" t="n">
        <v>23146</v>
      </c>
      <c r="N500" s="30" t="n">
        <v>43.31</v>
      </c>
      <c r="O500" s="30" t="n">
        <v>10.8</v>
      </c>
      <c r="P500" s="29" t="n">
        <v>0.0101</v>
      </c>
      <c r="Q500" s="27" t="n">
        <v>1272000</v>
      </c>
      <c r="R500" s="27" t="n">
        <v>163909</v>
      </c>
      <c r="S500" s="27" t="n">
        <v>266360</v>
      </c>
      <c r="T500" s="29" t="n">
        <v>0.782</v>
      </c>
      <c r="U500" s="29" t="n">
        <v>0.272</v>
      </c>
      <c r="V500" s="29" t="n">
        <v>0.892</v>
      </c>
      <c r="W500" s="28" t="n">
        <v>11.3</v>
      </c>
    </row>
    <row r="501" customFormat="false" ht="15" hidden="false" customHeight="false" outlineLevel="0" collapsed="false">
      <c r="A501" s="25" t="s">
        <v>733</v>
      </c>
      <c r="B501" s="25" t="s">
        <v>380</v>
      </c>
      <c r="C501" s="26" t="n">
        <v>46174</v>
      </c>
      <c r="D501" s="27" t="n">
        <v>39399</v>
      </c>
      <c r="E501" s="28" t="n">
        <v>644.6</v>
      </c>
      <c r="F501" s="29" t="n">
        <v>0.0519</v>
      </c>
      <c r="G501" s="29" t="n">
        <v>0.1697</v>
      </c>
      <c r="H501" s="30" t="n">
        <v>11.4</v>
      </c>
      <c r="I501" s="29" t="n">
        <v>0.0314</v>
      </c>
      <c r="J501" s="29" t="n">
        <v>0.0183</v>
      </c>
      <c r="K501" s="29" t="n">
        <v>0.0311</v>
      </c>
      <c r="L501" s="27" t="n">
        <v>31</v>
      </c>
      <c r="M501" s="27" t="n">
        <v>23167</v>
      </c>
      <c r="N501" s="30" t="n">
        <v>43.16</v>
      </c>
      <c r="O501" s="30" t="n">
        <v>11.17</v>
      </c>
      <c r="P501" s="29" t="n">
        <v>0.0101</v>
      </c>
      <c r="Q501" s="27" t="n">
        <v>1272000</v>
      </c>
      <c r="R501" s="27" t="n">
        <v>168853</v>
      </c>
      <c r="S501" s="27" t="n">
        <v>217991</v>
      </c>
      <c r="T501" s="29" t="n">
        <v>0.778</v>
      </c>
      <c r="U501" s="29" t="n">
        <v>0.262</v>
      </c>
      <c r="V501" s="29" t="n">
        <v>0.88</v>
      </c>
      <c r="W501" s="28" t="n">
        <v>11.6</v>
      </c>
    </row>
    <row r="502" customFormat="false" ht="15" hidden="false" customHeight="false" outlineLevel="0" collapsed="false">
      <c r="A502" s="25" t="s">
        <v>734</v>
      </c>
      <c r="B502" s="25" t="s">
        <v>380</v>
      </c>
      <c r="C502" s="26" t="n">
        <v>46204</v>
      </c>
      <c r="D502" s="27" t="n">
        <v>36900</v>
      </c>
      <c r="E502" s="28" t="n">
        <v>638.7</v>
      </c>
      <c r="F502" s="29" t="n">
        <v>0.0552</v>
      </c>
      <c r="G502" s="29" t="n">
        <v>0.174</v>
      </c>
      <c r="H502" s="30" t="n">
        <v>11.88</v>
      </c>
      <c r="I502" s="29" t="n">
        <v>0.0299</v>
      </c>
      <c r="J502" s="29" t="n">
        <v>0.0171</v>
      </c>
      <c r="K502" s="29" t="n">
        <v>0.0304</v>
      </c>
      <c r="L502" s="27" t="n">
        <v>27</v>
      </c>
      <c r="M502" s="27" t="n">
        <v>23188</v>
      </c>
      <c r="N502" s="30" t="n">
        <v>44</v>
      </c>
      <c r="O502" s="30" t="n">
        <v>10.92</v>
      </c>
      <c r="P502" s="29" t="n">
        <v>0.01</v>
      </c>
      <c r="Q502" s="27" t="n">
        <v>1272000</v>
      </c>
      <c r="R502" s="27" t="n">
        <v>162398</v>
      </c>
      <c r="S502" s="27" t="n">
        <v>238611</v>
      </c>
      <c r="T502" s="29" t="n">
        <v>0.799</v>
      </c>
      <c r="U502" s="29" t="n">
        <v>0.281</v>
      </c>
      <c r="V502" s="29" t="n">
        <v>0.874</v>
      </c>
      <c r="W502" s="28" t="n">
        <v>12</v>
      </c>
    </row>
    <row r="503" customFormat="false" ht="15" hidden="false" customHeight="false" outlineLevel="0" collapsed="false">
      <c r="A503" s="25" t="s">
        <v>735</v>
      </c>
      <c r="B503" s="25" t="s">
        <v>380</v>
      </c>
      <c r="C503" s="26" t="n">
        <v>46235</v>
      </c>
      <c r="D503" s="27" t="n">
        <v>40636</v>
      </c>
      <c r="E503" s="28" t="n">
        <v>647.5</v>
      </c>
      <c r="F503" s="29" t="n">
        <v>0.0568</v>
      </c>
      <c r="G503" s="29" t="n">
        <v>0.1703</v>
      </c>
      <c r="H503" s="30" t="n">
        <v>12.32</v>
      </c>
      <c r="I503" s="29" t="n">
        <v>0.0317</v>
      </c>
      <c r="J503" s="29" t="n">
        <v>0.0171</v>
      </c>
      <c r="K503" s="29" t="n">
        <v>0.0258</v>
      </c>
      <c r="L503" s="27" t="n">
        <v>30</v>
      </c>
      <c r="M503" s="27" t="n">
        <v>23209</v>
      </c>
      <c r="N503" s="30" t="n">
        <v>43.54</v>
      </c>
      <c r="O503" s="30" t="n">
        <v>11.33</v>
      </c>
      <c r="P503" s="29" t="n">
        <v>0.0101</v>
      </c>
      <c r="Q503" s="27" t="n">
        <v>1272000</v>
      </c>
      <c r="R503" s="27" t="n">
        <v>161035</v>
      </c>
      <c r="S503" s="27" t="n">
        <v>225201</v>
      </c>
      <c r="T503" s="29" t="n">
        <v>0.816</v>
      </c>
      <c r="U503" s="29" t="n">
        <v>0.27</v>
      </c>
      <c r="V503" s="29" t="n">
        <v>0.895</v>
      </c>
      <c r="W503" s="28" t="n">
        <v>11.9</v>
      </c>
    </row>
    <row r="504" customFormat="false" ht="15" hidden="false" customHeight="false" outlineLevel="0" collapsed="false">
      <c r="A504" s="25" t="s">
        <v>736</v>
      </c>
      <c r="B504" s="25" t="s">
        <v>380</v>
      </c>
      <c r="C504" s="26" t="n">
        <v>46266</v>
      </c>
      <c r="D504" s="27" t="n">
        <v>39413</v>
      </c>
      <c r="E504" s="28" t="n">
        <v>632.9</v>
      </c>
      <c r="F504" s="29" t="n">
        <v>0.0523</v>
      </c>
      <c r="G504" s="29" t="n">
        <v>0.1694</v>
      </c>
      <c r="H504" s="30" t="n">
        <v>12.68</v>
      </c>
      <c r="I504" s="29" t="n">
        <v>0.0316</v>
      </c>
      <c r="J504" s="29" t="n">
        <v>0.0178</v>
      </c>
      <c r="K504" s="29" t="n">
        <v>0.0199</v>
      </c>
      <c r="L504" s="27" t="n">
        <v>31</v>
      </c>
      <c r="M504" s="27" t="n">
        <v>23230</v>
      </c>
      <c r="N504" s="30" t="n">
        <v>43.51</v>
      </c>
      <c r="O504" s="30" t="n">
        <v>10.7</v>
      </c>
      <c r="P504" s="29" t="n">
        <v>0.01</v>
      </c>
      <c r="Q504" s="27" t="n">
        <v>1272000</v>
      </c>
      <c r="R504" s="27" t="n">
        <v>159353</v>
      </c>
      <c r="S504" s="27" t="n">
        <v>235730</v>
      </c>
      <c r="T504" s="29" t="n">
        <v>0.805</v>
      </c>
      <c r="U504" s="29" t="n">
        <v>0.259</v>
      </c>
      <c r="V504" s="29" t="n">
        <v>0.887</v>
      </c>
      <c r="W504" s="28" t="n">
        <v>11.9</v>
      </c>
    </row>
    <row r="505" customFormat="false" ht="15" hidden="false" customHeight="false" outlineLevel="0" collapsed="false">
      <c r="A505" s="25" t="s">
        <v>737</v>
      </c>
      <c r="B505" s="25" t="s">
        <v>370</v>
      </c>
      <c r="C505" s="26" t="n">
        <v>45931</v>
      </c>
      <c r="D505" s="27" t="n">
        <v>14303</v>
      </c>
      <c r="E505" s="28" t="n">
        <v>684.8</v>
      </c>
      <c r="F505" s="29" t="n">
        <v>0.075</v>
      </c>
      <c r="G505" s="29" t="n">
        <v>0.1725</v>
      </c>
      <c r="H505" s="30" t="n">
        <v>11.92</v>
      </c>
      <c r="I505" s="29" t="n">
        <v>0.0211</v>
      </c>
      <c r="J505" s="29" t="n">
        <v>0.0253</v>
      </c>
      <c r="K505" s="29" t="n">
        <v>0.0242</v>
      </c>
      <c r="L505" s="27" t="n">
        <v>16</v>
      </c>
      <c r="M505" s="27" t="n">
        <v>23000</v>
      </c>
      <c r="N505" s="30" t="n">
        <v>49.82</v>
      </c>
      <c r="O505" s="30" t="n">
        <v>10.7</v>
      </c>
      <c r="P505" s="29" t="n">
        <v>0.0099</v>
      </c>
      <c r="Q505" s="27" t="n">
        <v>1219500</v>
      </c>
      <c r="R505" s="27" t="n">
        <v>193436</v>
      </c>
      <c r="S505" s="27" t="n">
        <v>179993</v>
      </c>
      <c r="T505" s="29" t="n">
        <v>0.692</v>
      </c>
      <c r="U505" s="29" t="n">
        <v>0.308</v>
      </c>
      <c r="V505" s="29" t="n">
        <v>0.892</v>
      </c>
      <c r="W505" s="28" t="n">
        <v>11.6</v>
      </c>
    </row>
    <row r="506" customFormat="false" ht="15" hidden="false" customHeight="false" outlineLevel="0" collapsed="false">
      <c r="A506" s="25" t="s">
        <v>738</v>
      </c>
      <c r="B506" s="25" t="s">
        <v>370</v>
      </c>
      <c r="C506" s="26" t="n">
        <v>45962</v>
      </c>
      <c r="D506" s="27" t="n">
        <v>14770</v>
      </c>
      <c r="E506" s="28" t="n">
        <v>696.2</v>
      </c>
      <c r="F506" s="29" t="n">
        <v>0.0748</v>
      </c>
      <c r="G506" s="29" t="n">
        <v>0.1716</v>
      </c>
      <c r="H506" s="30" t="n">
        <v>12.97</v>
      </c>
      <c r="I506" s="29" t="n">
        <v>0.0225</v>
      </c>
      <c r="J506" s="29" t="n">
        <v>0.0234</v>
      </c>
      <c r="K506" s="29" t="n">
        <v>0.0215</v>
      </c>
      <c r="L506" s="27" t="n">
        <v>16</v>
      </c>
      <c r="M506" s="27" t="n">
        <v>23021</v>
      </c>
      <c r="N506" s="30" t="n">
        <v>49.28</v>
      </c>
      <c r="O506" s="30" t="n">
        <v>10.62</v>
      </c>
      <c r="P506" s="29" t="n">
        <v>0.0099</v>
      </c>
      <c r="Q506" s="27" t="n">
        <v>1219500</v>
      </c>
      <c r="R506" s="27" t="n">
        <v>172703</v>
      </c>
      <c r="S506" s="27" t="n">
        <v>172549</v>
      </c>
      <c r="T506" s="29" t="n">
        <v>0.73</v>
      </c>
      <c r="U506" s="29" t="n">
        <v>0.313</v>
      </c>
      <c r="V506" s="29" t="n">
        <v>0.892</v>
      </c>
      <c r="W506" s="28" t="n">
        <v>10.8</v>
      </c>
    </row>
    <row r="507" customFormat="false" ht="15" hidden="false" customHeight="false" outlineLevel="0" collapsed="false">
      <c r="A507" s="25" t="s">
        <v>739</v>
      </c>
      <c r="B507" s="25" t="s">
        <v>370</v>
      </c>
      <c r="C507" s="26" t="n">
        <v>45992</v>
      </c>
      <c r="D507" s="27" t="n">
        <v>15794</v>
      </c>
      <c r="E507" s="28" t="n">
        <v>673</v>
      </c>
      <c r="F507" s="29" t="n">
        <v>0.0722</v>
      </c>
      <c r="G507" s="29" t="n">
        <v>0.1703</v>
      </c>
      <c r="H507" s="30" t="n">
        <v>13.28</v>
      </c>
      <c r="I507" s="29" t="n">
        <v>0.0246</v>
      </c>
      <c r="J507" s="29" t="n">
        <v>0.0243</v>
      </c>
      <c r="K507" s="29" t="n">
        <v>0.0263</v>
      </c>
      <c r="L507" s="27" t="n">
        <v>16</v>
      </c>
      <c r="M507" s="27" t="n">
        <v>23042</v>
      </c>
      <c r="N507" s="30" t="n">
        <v>49.66</v>
      </c>
      <c r="O507" s="30" t="n">
        <v>10.8</v>
      </c>
      <c r="P507" s="29" t="n">
        <v>0.0097</v>
      </c>
      <c r="Q507" s="27" t="n">
        <v>1219500</v>
      </c>
      <c r="R507" s="27" t="n">
        <v>167696</v>
      </c>
      <c r="S507" s="27" t="n">
        <v>164189</v>
      </c>
      <c r="T507" s="29" t="n">
        <v>0.719</v>
      </c>
      <c r="U507" s="29" t="n">
        <v>0.303</v>
      </c>
      <c r="V507" s="29" t="n">
        <v>0.892</v>
      </c>
      <c r="W507" s="28" t="n">
        <v>11.6</v>
      </c>
    </row>
    <row r="508" customFormat="false" ht="15" hidden="false" customHeight="false" outlineLevel="0" collapsed="false">
      <c r="A508" s="25" t="s">
        <v>740</v>
      </c>
      <c r="B508" s="25" t="s">
        <v>370</v>
      </c>
      <c r="C508" s="26" t="n">
        <v>46023</v>
      </c>
      <c r="D508" s="27" t="n">
        <v>16228</v>
      </c>
      <c r="E508" s="28" t="n">
        <v>673.2</v>
      </c>
      <c r="F508" s="29" t="n">
        <v>0.0682</v>
      </c>
      <c r="G508" s="29" t="n">
        <v>0.1747</v>
      </c>
      <c r="H508" s="30" t="n">
        <v>12.8</v>
      </c>
      <c r="I508" s="29" t="n">
        <v>0.0229</v>
      </c>
      <c r="J508" s="29" t="n">
        <v>0.0231</v>
      </c>
      <c r="K508" s="29" t="n">
        <v>0.018</v>
      </c>
      <c r="L508" s="27" t="n">
        <v>16</v>
      </c>
      <c r="M508" s="27" t="n">
        <v>23063</v>
      </c>
      <c r="N508" s="30" t="n">
        <v>49</v>
      </c>
      <c r="O508" s="30" t="n">
        <v>10.7</v>
      </c>
      <c r="P508" s="29" t="n">
        <v>0.01</v>
      </c>
      <c r="Q508" s="27" t="n">
        <v>1219500</v>
      </c>
      <c r="R508" s="27" t="n">
        <v>180897</v>
      </c>
      <c r="S508" s="27" t="n">
        <v>166758</v>
      </c>
      <c r="T508" s="29" t="n">
        <v>0.74</v>
      </c>
      <c r="U508" s="29" t="n">
        <v>0.313</v>
      </c>
      <c r="V508" s="29" t="n">
        <v>0.883</v>
      </c>
      <c r="W508" s="28" t="n">
        <v>12.2</v>
      </c>
    </row>
    <row r="509" customFormat="false" ht="15" hidden="false" customHeight="false" outlineLevel="0" collapsed="false">
      <c r="A509" s="25" t="s">
        <v>741</v>
      </c>
      <c r="B509" s="25" t="s">
        <v>370</v>
      </c>
      <c r="C509" s="26" t="n">
        <v>46054</v>
      </c>
      <c r="D509" s="27" t="n">
        <v>16423</v>
      </c>
      <c r="E509" s="28" t="n">
        <v>676.3</v>
      </c>
      <c r="F509" s="29" t="n">
        <v>0.0685</v>
      </c>
      <c r="G509" s="29" t="n">
        <v>0.1719</v>
      </c>
      <c r="H509" s="30" t="n">
        <v>12.09</v>
      </c>
      <c r="I509" s="29" t="n">
        <v>0.0235</v>
      </c>
      <c r="J509" s="29" t="n">
        <v>0.0226</v>
      </c>
      <c r="K509" s="29" t="n">
        <v>0.0286</v>
      </c>
      <c r="L509" s="27" t="n">
        <v>16</v>
      </c>
      <c r="M509" s="27" t="n">
        <v>23084</v>
      </c>
      <c r="N509" s="30" t="n">
        <v>49.55</v>
      </c>
      <c r="O509" s="30" t="n">
        <v>10.84</v>
      </c>
      <c r="P509" s="29" t="n">
        <v>0.0102</v>
      </c>
      <c r="Q509" s="27" t="n">
        <v>1219500</v>
      </c>
      <c r="R509" s="27" t="n">
        <v>184215</v>
      </c>
      <c r="S509" s="27" t="n">
        <v>161409</v>
      </c>
      <c r="T509" s="29" t="n">
        <v>0.759</v>
      </c>
      <c r="U509" s="29" t="n">
        <v>0.307</v>
      </c>
      <c r="V509" s="29" t="n">
        <v>0.885</v>
      </c>
      <c r="W509" s="28" t="n">
        <v>12.4</v>
      </c>
    </row>
    <row r="510" customFormat="false" ht="15" hidden="false" customHeight="false" outlineLevel="0" collapsed="false">
      <c r="A510" s="25" t="s">
        <v>742</v>
      </c>
      <c r="B510" s="25" t="s">
        <v>370</v>
      </c>
      <c r="C510" s="26" t="n">
        <v>46082</v>
      </c>
      <c r="D510" s="27" t="n">
        <v>18495</v>
      </c>
      <c r="E510" s="28" t="n">
        <v>677.6</v>
      </c>
      <c r="F510" s="29" t="n">
        <v>0.0705</v>
      </c>
      <c r="G510" s="29" t="n">
        <v>0.1715</v>
      </c>
      <c r="H510" s="30" t="n">
        <v>13.32</v>
      </c>
      <c r="I510" s="29" t="n">
        <v>0.0232</v>
      </c>
      <c r="J510" s="29" t="n">
        <v>0.0221</v>
      </c>
      <c r="K510" s="29" t="n">
        <v>0.0235</v>
      </c>
      <c r="L510" s="27" t="n">
        <v>16</v>
      </c>
      <c r="M510" s="27" t="n">
        <v>23105</v>
      </c>
      <c r="N510" s="30" t="n">
        <v>49.08</v>
      </c>
      <c r="O510" s="30" t="n">
        <v>10.54</v>
      </c>
      <c r="P510" s="29" t="n">
        <v>0.0099</v>
      </c>
      <c r="Q510" s="27" t="n">
        <v>1219500</v>
      </c>
      <c r="R510" s="27" t="n">
        <v>173807</v>
      </c>
      <c r="S510" s="27" t="n">
        <v>174580</v>
      </c>
      <c r="T510" s="29" t="n">
        <v>0.751</v>
      </c>
      <c r="U510" s="29" t="n">
        <v>0.315</v>
      </c>
      <c r="V510" s="29" t="n">
        <v>0.891</v>
      </c>
      <c r="W510" s="28" t="n">
        <v>11.7</v>
      </c>
    </row>
    <row r="511" customFormat="false" ht="15" hidden="false" customHeight="false" outlineLevel="0" collapsed="false">
      <c r="A511" s="25" t="s">
        <v>743</v>
      </c>
      <c r="B511" s="25" t="s">
        <v>370</v>
      </c>
      <c r="C511" s="26" t="n">
        <v>46113</v>
      </c>
      <c r="D511" s="27" t="n">
        <v>22087</v>
      </c>
      <c r="E511" s="28" t="n">
        <v>702.4</v>
      </c>
      <c r="F511" s="29" t="n">
        <v>0.071</v>
      </c>
      <c r="G511" s="29" t="n">
        <v>0.1727</v>
      </c>
      <c r="H511" s="30" t="n">
        <v>12.53</v>
      </c>
      <c r="I511" s="29" t="n">
        <v>0.0253</v>
      </c>
      <c r="J511" s="29" t="n">
        <v>0.019</v>
      </c>
      <c r="K511" s="29" t="n">
        <v>0.0254</v>
      </c>
      <c r="L511" s="27" t="n">
        <v>18</v>
      </c>
      <c r="M511" s="27" t="n">
        <v>23125</v>
      </c>
      <c r="N511" s="30" t="n">
        <v>46.33</v>
      </c>
      <c r="O511" s="30" t="n">
        <v>10.97</v>
      </c>
      <c r="P511" s="29" t="n">
        <v>0.0093</v>
      </c>
      <c r="Q511" s="27" t="n">
        <v>1219500</v>
      </c>
      <c r="R511" s="27" t="n">
        <v>187074</v>
      </c>
      <c r="S511" s="27" t="n">
        <v>192597</v>
      </c>
      <c r="T511" s="29" t="n">
        <v>0.75</v>
      </c>
      <c r="U511" s="29" t="n">
        <v>0.323</v>
      </c>
      <c r="V511" s="29" t="n">
        <v>0.907</v>
      </c>
      <c r="W511" s="28" t="n">
        <v>11.5</v>
      </c>
    </row>
    <row r="512" customFormat="false" ht="15" hidden="false" customHeight="false" outlineLevel="0" collapsed="false">
      <c r="A512" s="25" t="s">
        <v>744</v>
      </c>
      <c r="B512" s="25" t="s">
        <v>370</v>
      </c>
      <c r="C512" s="26" t="n">
        <v>46143</v>
      </c>
      <c r="D512" s="27" t="n">
        <v>21004</v>
      </c>
      <c r="E512" s="28" t="n">
        <v>687.1</v>
      </c>
      <c r="F512" s="29" t="n">
        <v>0.0706</v>
      </c>
      <c r="G512" s="29" t="n">
        <v>0.1707</v>
      </c>
      <c r="H512" s="30" t="n">
        <v>12.67</v>
      </c>
      <c r="I512" s="29" t="n">
        <v>0.027</v>
      </c>
      <c r="J512" s="29" t="n">
        <v>0.0199</v>
      </c>
      <c r="K512" s="29" t="n">
        <v>0.0248</v>
      </c>
      <c r="L512" s="27" t="n">
        <v>16</v>
      </c>
      <c r="M512" s="27" t="n">
        <v>23146</v>
      </c>
      <c r="N512" s="30" t="n">
        <v>47.29</v>
      </c>
      <c r="O512" s="30" t="n">
        <v>11.14</v>
      </c>
      <c r="P512" s="29" t="n">
        <v>0.0105</v>
      </c>
      <c r="Q512" s="27" t="n">
        <v>1219500</v>
      </c>
      <c r="R512" s="27" t="n">
        <v>178916</v>
      </c>
      <c r="S512" s="27" t="n">
        <v>165463</v>
      </c>
      <c r="T512" s="29" t="n">
        <v>0.769</v>
      </c>
      <c r="U512" s="29" t="n">
        <v>0.315</v>
      </c>
      <c r="V512" s="29" t="n">
        <v>0.858</v>
      </c>
      <c r="W512" s="28" t="n">
        <v>12.2</v>
      </c>
    </row>
    <row r="513" customFormat="false" ht="15" hidden="false" customHeight="false" outlineLevel="0" collapsed="false">
      <c r="A513" s="25" t="s">
        <v>745</v>
      </c>
      <c r="B513" s="25" t="s">
        <v>370</v>
      </c>
      <c r="C513" s="26" t="n">
        <v>46174</v>
      </c>
      <c r="D513" s="27" t="n">
        <v>22232</v>
      </c>
      <c r="E513" s="28" t="n">
        <v>704.2</v>
      </c>
      <c r="F513" s="29" t="n">
        <v>0.069</v>
      </c>
      <c r="G513" s="29" t="n">
        <v>0.173</v>
      </c>
      <c r="H513" s="30" t="n">
        <v>12.02</v>
      </c>
      <c r="I513" s="29" t="n">
        <v>0.0263</v>
      </c>
      <c r="J513" s="29" t="n">
        <v>0.0194</v>
      </c>
      <c r="K513" s="29" t="n">
        <v>0.0227</v>
      </c>
      <c r="L513" s="27" t="n">
        <v>17</v>
      </c>
      <c r="M513" s="27" t="n">
        <v>23167</v>
      </c>
      <c r="N513" s="30" t="n">
        <v>46.7</v>
      </c>
      <c r="O513" s="30" t="n">
        <v>10.92</v>
      </c>
      <c r="P513" s="29" t="n">
        <v>0.0099</v>
      </c>
      <c r="Q513" s="27" t="n">
        <v>1219500</v>
      </c>
      <c r="R513" s="27" t="n">
        <v>181051</v>
      </c>
      <c r="S513" s="27" t="n">
        <v>180594</v>
      </c>
      <c r="T513" s="29" t="n">
        <v>0.766</v>
      </c>
      <c r="U513" s="29" t="n">
        <v>0.319</v>
      </c>
      <c r="V513" s="29" t="n">
        <v>0.891</v>
      </c>
      <c r="W513" s="28" t="n">
        <v>11.6</v>
      </c>
    </row>
    <row r="514" customFormat="false" ht="15" hidden="false" customHeight="false" outlineLevel="0" collapsed="false">
      <c r="A514" s="25" t="s">
        <v>746</v>
      </c>
      <c r="B514" s="25" t="s">
        <v>370</v>
      </c>
      <c r="C514" s="26" t="n">
        <v>46204</v>
      </c>
      <c r="D514" s="27" t="n">
        <v>21120</v>
      </c>
      <c r="E514" s="28" t="n">
        <v>689.9</v>
      </c>
      <c r="F514" s="29" t="n">
        <v>0.0686</v>
      </c>
      <c r="G514" s="29" t="n">
        <v>0.168</v>
      </c>
      <c r="H514" s="30" t="n">
        <v>13</v>
      </c>
      <c r="I514" s="29" t="n">
        <v>0.0226</v>
      </c>
      <c r="J514" s="29" t="n">
        <v>0.0204</v>
      </c>
      <c r="K514" s="29" t="n">
        <v>0.0227</v>
      </c>
      <c r="L514" s="27" t="n">
        <v>18</v>
      </c>
      <c r="M514" s="27" t="n">
        <v>23188</v>
      </c>
      <c r="N514" s="30" t="n">
        <v>47.91</v>
      </c>
      <c r="O514" s="30" t="n">
        <v>10.94</v>
      </c>
      <c r="P514" s="29" t="n">
        <v>0.0101</v>
      </c>
      <c r="Q514" s="27" t="n">
        <v>1219500</v>
      </c>
      <c r="R514" s="27" t="n">
        <v>176534</v>
      </c>
      <c r="S514" s="27" t="n">
        <v>151810</v>
      </c>
      <c r="T514" s="29" t="n">
        <v>0.78</v>
      </c>
      <c r="U514" s="29" t="n">
        <v>0.316</v>
      </c>
      <c r="V514" s="29" t="n">
        <v>0.896</v>
      </c>
      <c r="W514" s="28" t="n">
        <v>12</v>
      </c>
    </row>
    <row r="515" customFormat="false" ht="15" hidden="false" customHeight="false" outlineLevel="0" collapsed="false">
      <c r="A515" s="25" t="s">
        <v>747</v>
      </c>
      <c r="B515" s="25" t="s">
        <v>370</v>
      </c>
      <c r="C515" s="26" t="n">
        <v>46235</v>
      </c>
      <c r="D515" s="27" t="n">
        <v>21792</v>
      </c>
      <c r="E515" s="28" t="n">
        <v>679.4</v>
      </c>
      <c r="F515" s="29" t="n">
        <v>0.0693</v>
      </c>
      <c r="G515" s="29" t="n">
        <v>0.1757</v>
      </c>
      <c r="H515" s="30" t="n">
        <v>12.64</v>
      </c>
      <c r="I515" s="29" t="n">
        <v>0.0235</v>
      </c>
      <c r="J515" s="29" t="n">
        <v>0.0201</v>
      </c>
      <c r="K515" s="29" t="n">
        <v>0.0306</v>
      </c>
      <c r="L515" s="27" t="n">
        <v>17</v>
      </c>
      <c r="M515" s="27" t="n">
        <v>23209</v>
      </c>
      <c r="N515" s="30" t="n">
        <v>46.16</v>
      </c>
      <c r="O515" s="30" t="n">
        <v>10.55</v>
      </c>
      <c r="P515" s="29" t="n">
        <v>0.0099</v>
      </c>
      <c r="Q515" s="27" t="n">
        <v>1219500</v>
      </c>
      <c r="R515" s="27" t="n">
        <v>184591</v>
      </c>
      <c r="S515" s="27" t="n">
        <v>148656</v>
      </c>
      <c r="T515" s="29" t="n">
        <v>0.798</v>
      </c>
      <c r="U515" s="29" t="n">
        <v>0.318</v>
      </c>
      <c r="V515" s="29" t="n">
        <v>0.875</v>
      </c>
      <c r="W515" s="28" t="n">
        <v>12</v>
      </c>
    </row>
    <row r="516" customFormat="false" ht="15" hidden="false" customHeight="false" outlineLevel="0" collapsed="false">
      <c r="A516" s="25" t="s">
        <v>748</v>
      </c>
      <c r="B516" s="25" t="s">
        <v>370</v>
      </c>
      <c r="C516" s="26" t="n">
        <v>46266</v>
      </c>
      <c r="D516" s="27" t="n">
        <v>24167</v>
      </c>
      <c r="E516" s="28" t="n">
        <v>679.1</v>
      </c>
      <c r="F516" s="29" t="n">
        <v>0.0692</v>
      </c>
      <c r="G516" s="29" t="n">
        <v>0.1738</v>
      </c>
      <c r="H516" s="30" t="n">
        <v>12.52</v>
      </c>
      <c r="I516" s="29" t="n">
        <v>0.0264</v>
      </c>
      <c r="J516" s="29" t="n">
        <v>0.0172</v>
      </c>
      <c r="K516" s="29" t="n">
        <v>0.0206</v>
      </c>
      <c r="L516" s="27" t="n">
        <v>21</v>
      </c>
      <c r="M516" s="27" t="n">
        <v>23230</v>
      </c>
      <c r="N516" s="30" t="n">
        <v>45.52</v>
      </c>
      <c r="O516" s="30" t="n">
        <v>10.85</v>
      </c>
      <c r="P516" s="29" t="n">
        <v>0.0102</v>
      </c>
      <c r="Q516" s="27" t="n">
        <v>1219500</v>
      </c>
      <c r="R516" s="27" t="n">
        <v>168508</v>
      </c>
      <c r="S516" s="27" t="n">
        <v>149054</v>
      </c>
      <c r="T516" s="29" t="n">
        <v>0.798</v>
      </c>
      <c r="U516" s="29" t="n">
        <v>0.296</v>
      </c>
      <c r="V516" s="29" t="n">
        <v>0.888</v>
      </c>
      <c r="W516" s="28" t="n">
        <v>11.7</v>
      </c>
    </row>
    <row r="517" customFormat="false" ht="15" hidden="false" customHeight="false" outlineLevel="0" collapsed="false">
      <c r="A517" s="25" t="s">
        <v>749</v>
      </c>
      <c r="B517" s="25" t="s">
        <v>381</v>
      </c>
      <c r="C517" s="26" t="n">
        <v>45931</v>
      </c>
      <c r="D517" s="27" t="n">
        <v>2069</v>
      </c>
      <c r="E517" s="28" t="n">
        <v>632.5</v>
      </c>
      <c r="F517" s="29" t="n">
        <v>0.0928</v>
      </c>
      <c r="G517" s="29" t="n">
        <v>0.1672</v>
      </c>
      <c r="H517" s="30" t="n">
        <v>12.07</v>
      </c>
      <c r="I517" s="29" t="n">
        <v>0.0175</v>
      </c>
      <c r="J517" s="29" t="n">
        <v>0.0385</v>
      </c>
      <c r="K517" s="29" t="n">
        <v>0.0333</v>
      </c>
      <c r="L517" s="27" t="n">
        <v>16</v>
      </c>
      <c r="M517" s="27" t="n">
        <v>22000</v>
      </c>
      <c r="N517" s="30" t="n">
        <v>51.86</v>
      </c>
      <c r="O517" s="30" t="n">
        <v>10.51</v>
      </c>
      <c r="P517" s="29" t="n">
        <v>0.01</v>
      </c>
      <c r="Q517" s="27" t="n">
        <v>796000</v>
      </c>
      <c r="R517" s="27" t="n">
        <v>161737</v>
      </c>
      <c r="S517" s="27" t="n">
        <v>40266</v>
      </c>
      <c r="T517" s="29" t="n">
        <v>0.431</v>
      </c>
      <c r="U517" s="29" t="n">
        <v>0.237</v>
      </c>
      <c r="V517" s="29" t="n">
        <v>0.902</v>
      </c>
      <c r="W517" s="28" t="n">
        <v>11.5</v>
      </c>
    </row>
    <row r="518" customFormat="false" ht="15" hidden="false" customHeight="false" outlineLevel="0" collapsed="false">
      <c r="A518" s="25" t="s">
        <v>750</v>
      </c>
      <c r="B518" s="25" t="s">
        <v>381</v>
      </c>
      <c r="C518" s="26" t="n">
        <v>45962</v>
      </c>
      <c r="D518" s="27" t="n">
        <v>2103</v>
      </c>
      <c r="E518" s="28" t="n">
        <v>620.3</v>
      </c>
      <c r="F518" s="29" t="n">
        <v>0.0931</v>
      </c>
      <c r="G518" s="29" t="n">
        <v>0.163</v>
      </c>
      <c r="H518" s="30" t="n">
        <v>10.93</v>
      </c>
      <c r="I518" s="29" t="n">
        <v>0.0171</v>
      </c>
      <c r="J518" s="29" t="n">
        <v>0.0366</v>
      </c>
      <c r="K518" s="29" t="n">
        <v>0.0362</v>
      </c>
      <c r="L518" s="27" t="n">
        <v>16</v>
      </c>
      <c r="M518" s="27" t="n">
        <v>22020</v>
      </c>
      <c r="N518" s="30" t="n">
        <v>49.76</v>
      </c>
      <c r="O518" s="30" t="n">
        <v>10.72</v>
      </c>
      <c r="P518" s="29" t="n">
        <v>0.0099</v>
      </c>
      <c r="Q518" s="27" t="n">
        <v>796000</v>
      </c>
      <c r="R518" s="27" t="n">
        <v>169033</v>
      </c>
      <c r="S518" s="27" t="n">
        <v>39743</v>
      </c>
      <c r="T518" s="29" t="n">
        <v>0.48</v>
      </c>
      <c r="U518" s="29" t="n">
        <v>0.255</v>
      </c>
      <c r="V518" s="29" t="n">
        <v>0.885</v>
      </c>
      <c r="W518" s="28" t="n">
        <v>11.5</v>
      </c>
    </row>
    <row r="519" customFormat="false" ht="15" hidden="false" customHeight="false" outlineLevel="0" collapsed="false">
      <c r="A519" s="25" t="s">
        <v>751</v>
      </c>
      <c r="B519" s="25" t="s">
        <v>381</v>
      </c>
      <c r="C519" s="26" t="n">
        <v>45992</v>
      </c>
      <c r="D519" s="27" t="n">
        <v>2192</v>
      </c>
      <c r="E519" s="28" t="n">
        <v>619.2</v>
      </c>
      <c r="F519" s="29" t="n">
        <v>0.0942</v>
      </c>
      <c r="G519" s="29" t="n">
        <v>0.1674</v>
      </c>
      <c r="H519" s="30" t="n">
        <v>11.92</v>
      </c>
      <c r="I519" s="29" t="n">
        <v>0.0175</v>
      </c>
      <c r="J519" s="29" t="n">
        <v>0.0374</v>
      </c>
      <c r="K519" s="29" t="n">
        <v>0.0351</v>
      </c>
      <c r="L519" s="27" t="n">
        <v>16</v>
      </c>
      <c r="M519" s="27" t="n">
        <v>22040</v>
      </c>
      <c r="N519" s="30" t="n">
        <v>51.14</v>
      </c>
      <c r="O519" s="30" t="n">
        <v>10.41</v>
      </c>
      <c r="P519" s="29" t="n">
        <v>0.0101</v>
      </c>
      <c r="Q519" s="27" t="n">
        <v>796000</v>
      </c>
      <c r="R519" s="27" t="n">
        <v>166528</v>
      </c>
      <c r="S519" s="27" t="n">
        <v>41047</v>
      </c>
      <c r="T519" s="29" t="n">
        <v>0.463</v>
      </c>
      <c r="U519" s="29" t="n">
        <v>0.229</v>
      </c>
      <c r="V519" s="29" t="n">
        <v>0.875</v>
      </c>
      <c r="W519" s="28" t="n">
        <v>11.9</v>
      </c>
    </row>
    <row r="520" customFormat="false" ht="15" hidden="false" customHeight="false" outlineLevel="0" collapsed="false">
      <c r="A520" s="25" t="s">
        <v>752</v>
      </c>
      <c r="B520" s="25" t="s">
        <v>381</v>
      </c>
      <c r="C520" s="26" t="n">
        <v>46023</v>
      </c>
      <c r="D520" s="27" t="n">
        <v>2253</v>
      </c>
      <c r="E520" s="28" t="n">
        <v>622.7</v>
      </c>
      <c r="F520" s="29" t="n">
        <v>0.096</v>
      </c>
      <c r="G520" s="29" t="n">
        <v>0.1662</v>
      </c>
      <c r="H520" s="30" t="n">
        <v>12.07</v>
      </c>
      <c r="I520" s="29" t="n">
        <v>0.0174</v>
      </c>
      <c r="J520" s="29" t="n">
        <v>0.0365</v>
      </c>
      <c r="K520" s="29" t="n">
        <v>0.033</v>
      </c>
      <c r="L520" s="27" t="n">
        <v>16</v>
      </c>
      <c r="M520" s="27" t="n">
        <v>22060</v>
      </c>
      <c r="N520" s="30" t="n">
        <v>51.45</v>
      </c>
      <c r="O520" s="30" t="n">
        <v>10.95</v>
      </c>
      <c r="P520" s="29" t="n">
        <v>0.01</v>
      </c>
      <c r="Q520" s="27" t="n">
        <v>796000</v>
      </c>
      <c r="R520" s="27" t="n">
        <v>170166</v>
      </c>
      <c r="S520" s="27" t="n">
        <v>42492</v>
      </c>
      <c r="T520" s="29" t="n">
        <v>0.468</v>
      </c>
      <c r="U520" s="29" t="n">
        <v>0.253</v>
      </c>
      <c r="V520" s="29" t="n">
        <v>0.878</v>
      </c>
      <c r="W520" s="28" t="n">
        <v>11.9</v>
      </c>
    </row>
    <row r="521" customFormat="false" ht="15" hidden="false" customHeight="false" outlineLevel="0" collapsed="false">
      <c r="A521" s="25" t="s">
        <v>753</v>
      </c>
      <c r="B521" s="25" t="s">
        <v>381</v>
      </c>
      <c r="C521" s="26" t="n">
        <v>46054</v>
      </c>
      <c r="D521" s="27" t="n">
        <v>1997</v>
      </c>
      <c r="E521" s="28" t="n">
        <v>623.7</v>
      </c>
      <c r="F521" s="29" t="n">
        <v>0.0933</v>
      </c>
      <c r="G521" s="29" t="n">
        <v>0.1658</v>
      </c>
      <c r="H521" s="30" t="n">
        <v>12.25</v>
      </c>
      <c r="I521" s="29" t="n">
        <v>0.0173</v>
      </c>
      <c r="J521" s="29" t="n">
        <v>0.0376</v>
      </c>
      <c r="K521" s="29" t="n">
        <v>0.0312</v>
      </c>
      <c r="L521" s="27" t="n">
        <v>16</v>
      </c>
      <c r="M521" s="27" t="n">
        <v>22080</v>
      </c>
      <c r="N521" s="30" t="n">
        <v>51.22</v>
      </c>
      <c r="O521" s="30" t="n">
        <v>10.66</v>
      </c>
      <c r="P521" s="29" t="n">
        <v>0.01</v>
      </c>
      <c r="Q521" s="27" t="n">
        <v>796000</v>
      </c>
      <c r="R521" s="27" t="n">
        <v>161321</v>
      </c>
      <c r="S521" s="27" t="n">
        <v>37489</v>
      </c>
      <c r="T521" s="29" t="n">
        <v>0.45</v>
      </c>
      <c r="U521" s="29" t="n">
        <v>0.238</v>
      </c>
      <c r="V521" s="29" t="n">
        <v>0.872</v>
      </c>
      <c r="W521" s="28" t="n">
        <v>12.1</v>
      </c>
    </row>
    <row r="522" customFormat="false" ht="15" hidden="false" customHeight="false" outlineLevel="0" collapsed="false">
      <c r="A522" s="25" t="s">
        <v>754</v>
      </c>
      <c r="B522" s="25" t="s">
        <v>381</v>
      </c>
      <c r="C522" s="26" t="n">
        <v>46082</v>
      </c>
      <c r="D522" s="27" t="n">
        <v>3925</v>
      </c>
      <c r="E522" s="28" t="n">
        <v>626.5</v>
      </c>
      <c r="F522" s="29" t="n">
        <v>0.0929</v>
      </c>
      <c r="G522" s="29" t="n">
        <v>0.1685</v>
      </c>
      <c r="H522" s="30" t="n">
        <v>12.06</v>
      </c>
      <c r="I522" s="29" t="n">
        <v>0.0175</v>
      </c>
      <c r="J522" s="29" t="n">
        <v>0.0371</v>
      </c>
      <c r="K522" s="29" t="n">
        <v>0.0275</v>
      </c>
      <c r="L522" s="27" t="n">
        <v>16</v>
      </c>
      <c r="M522" s="27" t="n">
        <v>22100</v>
      </c>
      <c r="N522" s="30" t="n">
        <v>50.72</v>
      </c>
      <c r="O522" s="30" t="n">
        <v>10.82</v>
      </c>
      <c r="P522" s="29" t="n">
        <v>0.0097</v>
      </c>
      <c r="Q522" s="27" t="n">
        <v>796000</v>
      </c>
      <c r="R522" s="27" t="n">
        <v>169426</v>
      </c>
      <c r="S522" s="27" t="n">
        <v>69979</v>
      </c>
      <c r="T522" s="29" t="n">
        <v>0.472</v>
      </c>
      <c r="U522" s="29" t="n">
        <v>0.223</v>
      </c>
      <c r="V522" s="29" t="n">
        <v>0.888</v>
      </c>
      <c r="W522" s="28" t="n">
        <v>11.4</v>
      </c>
    </row>
    <row r="523" customFormat="false" ht="15" hidden="false" customHeight="false" outlineLevel="0" collapsed="false">
      <c r="A523" s="25" t="s">
        <v>755</v>
      </c>
      <c r="B523" s="25" t="s">
        <v>381</v>
      </c>
      <c r="C523" s="26" t="n">
        <v>46113</v>
      </c>
      <c r="D523" s="27" t="n">
        <v>5700</v>
      </c>
      <c r="E523" s="28" t="n">
        <v>606.5</v>
      </c>
      <c r="F523" s="29" t="n">
        <v>0.0887</v>
      </c>
      <c r="G523" s="29" t="n">
        <v>0.1645</v>
      </c>
      <c r="H523" s="30" t="n">
        <v>12</v>
      </c>
      <c r="I523" s="29" t="n">
        <v>0.0176</v>
      </c>
      <c r="J523" s="29" t="n">
        <v>0.035</v>
      </c>
      <c r="K523" s="29" t="n">
        <v>0.0263</v>
      </c>
      <c r="L523" s="27" t="n">
        <v>16</v>
      </c>
      <c r="M523" s="27" t="n">
        <v>22120</v>
      </c>
      <c r="N523" s="30" t="n">
        <v>49.51</v>
      </c>
      <c r="O523" s="30" t="n">
        <v>10.7</v>
      </c>
      <c r="P523" s="29" t="n">
        <v>0.0104</v>
      </c>
      <c r="Q523" s="27" t="n">
        <v>796000</v>
      </c>
      <c r="R523" s="27" t="n">
        <v>168070</v>
      </c>
      <c r="S523" s="27" t="n">
        <v>89041</v>
      </c>
      <c r="T523" s="29" t="n">
        <v>0.522</v>
      </c>
      <c r="U523" s="29" t="n">
        <v>0.236</v>
      </c>
      <c r="V523" s="29" t="n">
        <v>0.898</v>
      </c>
      <c r="W523" s="28" t="n">
        <v>11.8</v>
      </c>
    </row>
    <row r="524" customFormat="false" ht="15" hidden="false" customHeight="false" outlineLevel="0" collapsed="false">
      <c r="A524" s="25" t="s">
        <v>756</v>
      </c>
      <c r="B524" s="25" t="s">
        <v>381</v>
      </c>
      <c r="C524" s="26" t="n">
        <v>46143</v>
      </c>
      <c r="D524" s="27" t="n">
        <v>7570</v>
      </c>
      <c r="E524" s="28" t="n">
        <v>614.7</v>
      </c>
      <c r="F524" s="29" t="n">
        <v>0.089</v>
      </c>
      <c r="G524" s="29" t="n">
        <v>0.1629</v>
      </c>
      <c r="H524" s="30" t="n">
        <v>12.1</v>
      </c>
      <c r="I524" s="29" t="n">
        <v>0.0191</v>
      </c>
      <c r="J524" s="29" t="n">
        <v>0.0335</v>
      </c>
      <c r="K524" s="29" t="n">
        <v>0.0405</v>
      </c>
      <c r="L524" s="27" t="n">
        <v>16</v>
      </c>
      <c r="M524" s="27" t="n">
        <v>22140</v>
      </c>
      <c r="N524" s="30" t="n">
        <v>48.4</v>
      </c>
      <c r="O524" s="30" t="n">
        <v>10.33</v>
      </c>
      <c r="P524" s="29" t="n">
        <v>0.0098</v>
      </c>
      <c r="Q524" s="27" t="n">
        <v>796000</v>
      </c>
      <c r="R524" s="27" t="n">
        <v>164108</v>
      </c>
      <c r="S524" s="27" t="n">
        <v>109453</v>
      </c>
      <c r="T524" s="29" t="n">
        <v>0.537</v>
      </c>
      <c r="U524" s="29" t="n">
        <v>0.237</v>
      </c>
      <c r="V524" s="29" t="n">
        <v>0.877</v>
      </c>
      <c r="W524" s="28" t="n">
        <v>11.9</v>
      </c>
    </row>
    <row r="525" customFormat="false" ht="15" hidden="false" customHeight="false" outlineLevel="0" collapsed="false">
      <c r="A525" s="25" t="s">
        <v>757</v>
      </c>
      <c r="B525" s="25" t="s">
        <v>381</v>
      </c>
      <c r="C525" s="26" t="n">
        <v>46174</v>
      </c>
      <c r="D525" s="27" t="n">
        <v>9083</v>
      </c>
      <c r="E525" s="28" t="n">
        <v>628.3</v>
      </c>
      <c r="F525" s="29" t="n">
        <v>0.0826</v>
      </c>
      <c r="G525" s="29" t="n">
        <v>0.1691</v>
      </c>
      <c r="H525" s="30" t="n">
        <v>11.35</v>
      </c>
      <c r="I525" s="29" t="n">
        <v>0.0194</v>
      </c>
      <c r="J525" s="29" t="n">
        <v>0.0321</v>
      </c>
      <c r="K525" s="29" t="n">
        <v>0.0386</v>
      </c>
      <c r="L525" s="27" t="n">
        <v>16</v>
      </c>
      <c r="M525" s="27" t="n">
        <v>22160</v>
      </c>
      <c r="N525" s="30" t="n">
        <v>47.75</v>
      </c>
      <c r="O525" s="30" t="n">
        <v>10.4</v>
      </c>
      <c r="P525" s="29" t="n">
        <v>0.0108</v>
      </c>
      <c r="Q525" s="27" t="n">
        <v>796000</v>
      </c>
      <c r="R525" s="27" t="n">
        <v>158894</v>
      </c>
      <c r="S525" s="27" t="n">
        <v>128640</v>
      </c>
      <c r="T525" s="29" t="n">
        <v>0.549</v>
      </c>
      <c r="U525" s="29" t="n">
        <v>0.241</v>
      </c>
      <c r="V525" s="29" t="n">
        <v>0.852</v>
      </c>
      <c r="W525" s="28" t="n">
        <v>12.1</v>
      </c>
    </row>
    <row r="526" customFormat="false" ht="15" hidden="false" customHeight="false" outlineLevel="0" collapsed="false">
      <c r="A526" s="25" t="s">
        <v>758</v>
      </c>
      <c r="B526" s="25" t="s">
        <v>381</v>
      </c>
      <c r="C526" s="26" t="n">
        <v>46204</v>
      </c>
      <c r="D526" s="27" t="n">
        <v>9415</v>
      </c>
      <c r="E526" s="28" t="n">
        <v>629.8</v>
      </c>
      <c r="F526" s="29" t="n">
        <v>0.0806</v>
      </c>
      <c r="G526" s="29" t="n">
        <v>0.1637</v>
      </c>
      <c r="H526" s="30" t="n">
        <v>12.12</v>
      </c>
      <c r="I526" s="29" t="n">
        <v>0.0197</v>
      </c>
      <c r="J526" s="29" t="n">
        <v>0.0303</v>
      </c>
      <c r="K526" s="29" t="n">
        <v>0.0287</v>
      </c>
      <c r="L526" s="27" t="n">
        <v>16</v>
      </c>
      <c r="M526" s="27" t="n">
        <v>22180</v>
      </c>
      <c r="N526" s="30" t="n">
        <v>47.28</v>
      </c>
      <c r="O526" s="30" t="n">
        <v>10.46</v>
      </c>
      <c r="P526" s="29" t="n">
        <v>0.0103</v>
      </c>
      <c r="Q526" s="27" t="n">
        <v>796000</v>
      </c>
      <c r="R526" s="27" t="n">
        <v>168699</v>
      </c>
      <c r="S526" s="27" t="n">
        <v>117237</v>
      </c>
      <c r="T526" s="29" t="n">
        <v>0.57</v>
      </c>
      <c r="U526" s="29" t="n">
        <v>0.225</v>
      </c>
      <c r="V526" s="29" t="n">
        <v>0.877</v>
      </c>
      <c r="W526" s="28" t="n">
        <v>12.4</v>
      </c>
    </row>
    <row r="527" customFormat="false" ht="15" hidden="false" customHeight="false" outlineLevel="0" collapsed="false">
      <c r="A527" s="25" t="s">
        <v>759</v>
      </c>
      <c r="B527" s="25" t="s">
        <v>381</v>
      </c>
      <c r="C527" s="26" t="n">
        <v>46235</v>
      </c>
      <c r="D527" s="27" t="n">
        <v>11116</v>
      </c>
      <c r="E527" s="28" t="n">
        <v>632.6</v>
      </c>
      <c r="F527" s="29" t="n">
        <v>0.0761</v>
      </c>
      <c r="G527" s="29" t="n">
        <v>0.1659</v>
      </c>
      <c r="H527" s="30" t="n">
        <v>12.34</v>
      </c>
      <c r="I527" s="29" t="n">
        <v>0.0192</v>
      </c>
      <c r="J527" s="29" t="n">
        <v>0.0315</v>
      </c>
      <c r="K527" s="29" t="n">
        <v>0.0337</v>
      </c>
      <c r="L527" s="27" t="n">
        <v>16</v>
      </c>
      <c r="M527" s="27" t="n">
        <v>22200</v>
      </c>
      <c r="N527" s="30" t="n">
        <v>47.11</v>
      </c>
      <c r="O527" s="30" t="n">
        <v>9.99</v>
      </c>
      <c r="P527" s="29" t="n">
        <v>0.0102</v>
      </c>
      <c r="Q527" s="27" t="n">
        <v>796000</v>
      </c>
      <c r="R527" s="27" t="n">
        <v>157304</v>
      </c>
      <c r="S527" s="27" t="n">
        <v>124399</v>
      </c>
      <c r="T527" s="29" t="n">
        <v>0.584</v>
      </c>
      <c r="U527" s="29" t="n">
        <v>0.248</v>
      </c>
      <c r="V527" s="29" t="n">
        <v>0.877</v>
      </c>
      <c r="W527" s="28" t="n">
        <v>11.5</v>
      </c>
    </row>
    <row r="528" customFormat="false" ht="15" hidden="false" customHeight="false" outlineLevel="0" collapsed="false">
      <c r="A528" s="25" t="s">
        <v>760</v>
      </c>
      <c r="B528" s="25" t="s">
        <v>381</v>
      </c>
      <c r="C528" s="26" t="n">
        <v>46266</v>
      </c>
      <c r="D528" s="27" t="n">
        <v>11759</v>
      </c>
      <c r="E528" s="28" t="n">
        <v>625.2</v>
      </c>
      <c r="F528" s="29" t="n">
        <v>0.0781</v>
      </c>
      <c r="G528" s="29" t="n">
        <v>0.1653</v>
      </c>
      <c r="H528" s="30" t="n">
        <v>11.56</v>
      </c>
      <c r="I528" s="29" t="n">
        <v>0.0208</v>
      </c>
      <c r="J528" s="29" t="n">
        <v>0.0313</v>
      </c>
      <c r="K528" s="29" t="n">
        <v>0.0355</v>
      </c>
      <c r="L528" s="27" t="n">
        <v>16</v>
      </c>
      <c r="M528" s="27" t="n">
        <v>22220</v>
      </c>
      <c r="N528" s="30" t="n">
        <v>47.11</v>
      </c>
      <c r="O528" s="30" t="n">
        <v>10.89</v>
      </c>
      <c r="P528" s="29" t="n">
        <v>0.0095</v>
      </c>
      <c r="Q528" s="27" t="n">
        <v>796000</v>
      </c>
      <c r="R528" s="27" t="n">
        <v>161391</v>
      </c>
      <c r="S528" s="27" t="n">
        <v>121268</v>
      </c>
      <c r="T528" s="29" t="n">
        <v>0.588</v>
      </c>
      <c r="U528" s="29" t="n">
        <v>0.245</v>
      </c>
      <c r="V528" s="29" t="n">
        <v>0.88</v>
      </c>
      <c r="W528" s="28" t="n">
        <v>12</v>
      </c>
    </row>
    <row r="529" customFormat="false" ht="15" hidden="false" customHeight="false" outlineLevel="0" collapsed="false">
      <c r="A529" s="25" t="s">
        <v>761</v>
      </c>
      <c r="B529" s="25" t="s">
        <v>383</v>
      </c>
      <c r="C529" s="26" t="n">
        <v>45931</v>
      </c>
      <c r="D529" s="27" t="n">
        <v>27715</v>
      </c>
      <c r="E529" s="28" t="n">
        <v>699.5</v>
      </c>
      <c r="F529" s="29" t="n">
        <v>0.053</v>
      </c>
      <c r="G529" s="29" t="n">
        <v>0.1692</v>
      </c>
      <c r="H529" s="30" t="n">
        <v>13.1</v>
      </c>
      <c r="I529" s="29" t="n">
        <v>0.0279</v>
      </c>
      <c r="J529" s="29" t="n">
        <v>0.0197</v>
      </c>
      <c r="K529" s="29" t="n">
        <v>0.0264</v>
      </c>
      <c r="L529" s="27" t="n">
        <v>26</v>
      </c>
      <c r="M529" s="27" t="n">
        <v>22000</v>
      </c>
      <c r="N529" s="30" t="n">
        <v>40.32</v>
      </c>
      <c r="O529" s="30" t="n">
        <v>10.91</v>
      </c>
      <c r="P529" s="29" t="n">
        <v>0.01</v>
      </c>
      <c r="Q529" s="27" t="n">
        <v>549500</v>
      </c>
      <c r="R529" s="27" t="n">
        <v>159843</v>
      </c>
      <c r="S529" s="27" t="n">
        <v>201602</v>
      </c>
      <c r="T529" s="29" t="n">
        <v>0.796</v>
      </c>
      <c r="U529" s="29" t="n">
        <v>0.322</v>
      </c>
      <c r="V529" s="29" t="n">
        <v>0.875</v>
      </c>
      <c r="W529" s="28" t="n">
        <v>11.6</v>
      </c>
    </row>
    <row r="530" customFormat="false" ht="15" hidden="false" customHeight="false" outlineLevel="0" collapsed="false">
      <c r="A530" s="25" t="s">
        <v>762</v>
      </c>
      <c r="B530" s="25" t="s">
        <v>383</v>
      </c>
      <c r="C530" s="26" t="n">
        <v>45962</v>
      </c>
      <c r="D530" s="27" t="n">
        <v>28609</v>
      </c>
      <c r="E530" s="28" t="n">
        <v>684.2</v>
      </c>
      <c r="F530" s="29" t="n">
        <v>0.0539</v>
      </c>
      <c r="G530" s="29" t="n">
        <v>0.1663</v>
      </c>
      <c r="H530" s="30" t="n">
        <v>12.43</v>
      </c>
      <c r="I530" s="29" t="n">
        <v>0.0284</v>
      </c>
      <c r="J530" s="29" t="n">
        <v>0.0198</v>
      </c>
      <c r="K530" s="29" t="n">
        <v>0.0281</v>
      </c>
      <c r="L530" s="27" t="n">
        <v>26</v>
      </c>
      <c r="M530" s="27" t="n">
        <v>22020</v>
      </c>
      <c r="N530" s="30" t="n">
        <v>40.26</v>
      </c>
      <c r="O530" s="30" t="n">
        <v>10.37</v>
      </c>
      <c r="P530" s="29" t="n">
        <v>0.01</v>
      </c>
      <c r="Q530" s="27" t="n">
        <v>549500</v>
      </c>
      <c r="R530" s="27" t="n">
        <v>157951</v>
      </c>
      <c r="S530" s="27" t="n">
        <v>198762</v>
      </c>
      <c r="T530" s="29" t="n">
        <v>0.775</v>
      </c>
      <c r="U530" s="29" t="n">
        <v>0.32</v>
      </c>
      <c r="V530" s="29" t="n">
        <v>0.886</v>
      </c>
      <c r="W530" s="28" t="n">
        <v>11.7</v>
      </c>
    </row>
    <row r="531" customFormat="false" ht="15" hidden="false" customHeight="false" outlineLevel="0" collapsed="false">
      <c r="A531" s="25" t="s">
        <v>763</v>
      </c>
      <c r="B531" s="25" t="s">
        <v>383</v>
      </c>
      <c r="C531" s="26" t="n">
        <v>45992</v>
      </c>
      <c r="D531" s="27" t="n">
        <v>29827</v>
      </c>
      <c r="E531" s="28" t="n">
        <v>692.8</v>
      </c>
      <c r="F531" s="29" t="n">
        <v>0.0562</v>
      </c>
      <c r="G531" s="29" t="n">
        <v>0.1659</v>
      </c>
      <c r="H531" s="30" t="n">
        <v>12.72</v>
      </c>
      <c r="I531" s="29" t="n">
        <v>0.0283</v>
      </c>
      <c r="J531" s="29" t="n">
        <v>0.0209</v>
      </c>
      <c r="K531" s="29" t="n">
        <v>0.0243</v>
      </c>
      <c r="L531" s="27" t="n">
        <v>26</v>
      </c>
      <c r="M531" s="27" t="n">
        <v>22040</v>
      </c>
      <c r="N531" s="30" t="n">
        <v>39.43</v>
      </c>
      <c r="O531" s="30" t="n">
        <v>10.42</v>
      </c>
      <c r="P531" s="29" t="n">
        <v>0.0095</v>
      </c>
      <c r="Q531" s="27" t="n">
        <v>549500</v>
      </c>
      <c r="R531" s="27" t="n">
        <v>147589</v>
      </c>
      <c r="S531" s="27" t="n">
        <v>187815</v>
      </c>
      <c r="T531" s="29" t="n">
        <v>0.793</v>
      </c>
      <c r="U531" s="29" t="n">
        <v>0.305</v>
      </c>
      <c r="V531" s="29" t="n">
        <v>0.877</v>
      </c>
      <c r="W531" s="28" t="n">
        <v>12.3</v>
      </c>
    </row>
    <row r="532" customFormat="false" ht="15" hidden="false" customHeight="false" outlineLevel="0" collapsed="false">
      <c r="A532" s="25" t="s">
        <v>764</v>
      </c>
      <c r="B532" s="25" t="s">
        <v>383</v>
      </c>
      <c r="C532" s="26" t="n">
        <v>46023</v>
      </c>
      <c r="D532" s="27" t="n">
        <v>28958</v>
      </c>
      <c r="E532" s="28" t="n">
        <v>685.4</v>
      </c>
      <c r="F532" s="29" t="n">
        <v>0.06</v>
      </c>
      <c r="G532" s="29" t="n">
        <v>0.1685</v>
      </c>
      <c r="H532" s="30" t="n">
        <v>12.55</v>
      </c>
      <c r="I532" s="29" t="n">
        <v>0.027</v>
      </c>
      <c r="J532" s="29" t="n">
        <v>0.02</v>
      </c>
      <c r="K532" s="29" t="n">
        <v>0.0341</v>
      </c>
      <c r="L532" s="27" t="n">
        <v>26</v>
      </c>
      <c r="M532" s="27" t="n">
        <v>22060</v>
      </c>
      <c r="N532" s="30" t="n">
        <v>39.51</v>
      </c>
      <c r="O532" s="30" t="n">
        <v>10.39</v>
      </c>
      <c r="P532" s="29" t="n">
        <v>0.0102</v>
      </c>
      <c r="Q532" s="27" t="n">
        <v>549500</v>
      </c>
      <c r="R532" s="27" t="n">
        <v>147806</v>
      </c>
      <c r="S532" s="27" t="n">
        <v>166762</v>
      </c>
      <c r="T532" s="29" t="n">
        <v>0.809</v>
      </c>
      <c r="U532" s="29" t="n">
        <v>0.328</v>
      </c>
      <c r="V532" s="29" t="n">
        <v>0.882</v>
      </c>
      <c r="W532" s="28" t="n">
        <v>11.9</v>
      </c>
    </row>
    <row r="533" customFormat="false" ht="15" hidden="false" customHeight="false" outlineLevel="0" collapsed="false">
      <c r="A533" s="25" t="s">
        <v>765</v>
      </c>
      <c r="B533" s="25" t="s">
        <v>383</v>
      </c>
      <c r="C533" s="26" t="n">
        <v>46054</v>
      </c>
      <c r="D533" s="27" t="n">
        <v>28342</v>
      </c>
      <c r="E533" s="28" t="n">
        <v>683</v>
      </c>
      <c r="F533" s="29" t="n">
        <v>0.0553</v>
      </c>
      <c r="G533" s="29" t="n">
        <v>0.1705</v>
      </c>
      <c r="H533" s="30" t="n">
        <v>12.32</v>
      </c>
      <c r="I533" s="29" t="n">
        <v>0.0272</v>
      </c>
      <c r="J533" s="29" t="n">
        <v>0.0184</v>
      </c>
      <c r="K533" s="29" t="n">
        <v>0.0318</v>
      </c>
      <c r="L533" s="27" t="n">
        <v>28</v>
      </c>
      <c r="M533" s="27" t="n">
        <v>22080</v>
      </c>
      <c r="N533" s="30" t="n">
        <v>40.31</v>
      </c>
      <c r="O533" s="30" t="n">
        <v>10.81</v>
      </c>
      <c r="P533" s="29" t="n">
        <v>0.0098</v>
      </c>
      <c r="Q533" s="27" t="n">
        <v>549500</v>
      </c>
      <c r="R533" s="27" t="n">
        <v>149701</v>
      </c>
      <c r="S533" s="27" t="n">
        <v>171350</v>
      </c>
      <c r="T533" s="29" t="n">
        <v>0.822</v>
      </c>
      <c r="U533" s="29" t="n">
        <v>0.303</v>
      </c>
      <c r="V533" s="29" t="n">
        <v>0.881</v>
      </c>
      <c r="W533" s="28" t="n">
        <v>11.5</v>
      </c>
    </row>
    <row r="534" customFormat="false" ht="15" hidden="false" customHeight="false" outlineLevel="0" collapsed="false">
      <c r="A534" s="25" t="s">
        <v>766</v>
      </c>
      <c r="B534" s="25" t="s">
        <v>383</v>
      </c>
      <c r="C534" s="26" t="n">
        <v>46082</v>
      </c>
      <c r="D534" s="27" t="n">
        <v>31251</v>
      </c>
      <c r="E534" s="28" t="n">
        <v>706.5</v>
      </c>
      <c r="F534" s="29" t="n">
        <v>0.05</v>
      </c>
      <c r="G534" s="29" t="n">
        <v>0.17</v>
      </c>
      <c r="H534" s="30" t="n">
        <v>13.33</v>
      </c>
      <c r="I534" s="29" t="n">
        <v>0.0274</v>
      </c>
      <c r="J534" s="29" t="n">
        <v>0.0195</v>
      </c>
      <c r="K534" s="29" t="n">
        <v>0.0285</v>
      </c>
      <c r="L534" s="27" t="n">
        <v>28</v>
      </c>
      <c r="M534" s="27" t="n">
        <v>22100</v>
      </c>
      <c r="N534" s="30" t="n">
        <v>38.89</v>
      </c>
      <c r="O534" s="30" t="n">
        <v>10.25</v>
      </c>
      <c r="P534" s="29" t="n">
        <v>0.0103</v>
      </c>
      <c r="Q534" s="27" t="n">
        <v>549500</v>
      </c>
      <c r="R534" s="27" t="n">
        <v>151035</v>
      </c>
      <c r="S534" s="27" t="n">
        <v>208188</v>
      </c>
      <c r="T534" s="29" t="n">
        <v>0.796</v>
      </c>
      <c r="U534" s="29" t="n">
        <v>0.307</v>
      </c>
      <c r="V534" s="29" t="n">
        <v>0.886</v>
      </c>
      <c r="W534" s="28" t="n">
        <v>11.2</v>
      </c>
    </row>
    <row r="535" customFormat="false" ht="15" hidden="false" customHeight="false" outlineLevel="0" collapsed="false">
      <c r="A535" s="25" t="s">
        <v>767</v>
      </c>
      <c r="B535" s="25" t="s">
        <v>383</v>
      </c>
      <c r="C535" s="26" t="n">
        <v>46113</v>
      </c>
      <c r="D535" s="27" t="n">
        <v>30695</v>
      </c>
      <c r="E535" s="28" t="n">
        <v>711.3</v>
      </c>
      <c r="F535" s="29" t="n">
        <v>0.0562</v>
      </c>
      <c r="G535" s="29" t="n">
        <v>0.1692</v>
      </c>
      <c r="H535" s="30" t="n">
        <v>12.35</v>
      </c>
      <c r="I535" s="29" t="n">
        <v>0.0295</v>
      </c>
      <c r="J535" s="29" t="n">
        <v>0.0183</v>
      </c>
      <c r="K535" s="29" t="n">
        <v>0.0313</v>
      </c>
      <c r="L535" s="27" t="n">
        <v>27</v>
      </c>
      <c r="M535" s="27" t="n">
        <v>22120</v>
      </c>
      <c r="N535" s="30" t="n">
        <v>39.2</v>
      </c>
      <c r="O535" s="30" t="n">
        <v>11.04</v>
      </c>
      <c r="P535" s="29" t="n">
        <v>0.0102</v>
      </c>
      <c r="Q535" s="27" t="n">
        <v>549500</v>
      </c>
      <c r="R535" s="27" t="n">
        <v>157917</v>
      </c>
      <c r="S535" s="27" t="n">
        <v>181884</v>
      </c>
      <c r="T535" s="29" t="n">
        <v>0.795</v>
      </c>
      <c r="U535" s="29" t="n">
        <v>0.321</v>
      </c>
      <c r="V535" s="29" t="n">
        <v>0.878</v>
      </c>
      <c r="W535" s="28" t="n">
        <v>11.8</v>
      </c>
    </row>
    <row r="536" customFormat="false" ht="15" hidden="false" customHeight="false" outlineLevel="0" collapsed="false">
      <c r="A536" s="25" t="s">
        <v>768</v>
      </c>
      <c r="B536" s="25" t="s">
        <v>383</v>
      </c>
      <c r="C536" s="26" t="n">
        <v>46143</v>
      </c>
      <c r="D536" s="27" t="n">
        <v>32525</v>
      </c>
      <c r="E536" s="28" t="n">
        <v>698.1</v>
      </c>
      <c r="F536" s="29" t="n">
        <v>0.0546</v>
      </c>
      <c r="G536" s="29" t="n">
        <v>0.1651</v>
      </c>
      <c r="H536" s="30" t="n">
        <v>12.59</v>
      </c>
      <c r="I536" s="29" t="n">
        <v>0.0284</v>
      </c>
      <c r="J536" s="29" t="n">
        <v>0.0194</v>
      </c>
      <c r="K536" s="29" t="n">
        <v>0.0293</v>
      </c>
      <c r="L536" s="27" t="n">
        <v>30</v>
      </c>
      <c r="M536" s="27" t="n">
        <v>22140</v>
      </c>
      <c r="N536" s="30" t="n">
        <v>39.82</v>
      </c>
      <c r="O536" s="30" t="n">
        <v>10.73</v>
      </c>
      <c r="P536" s="29" t="n">
        <v>0.0103</v>
      </c>
      <c r="Q536" s="27" t="n">
        <v>549500</v>
      </c>
      <c r="R536" s="27" t="n">
        <v>152866</v>
      </c>
      <c r="S536" s="27" t="n">
        <v>164053</v>
      </c>
      <c r="T536" s="29" t="n">
        <v>0.791</v>
      </c>
      <c r="U536" s="29" t="n">
        <v>0.305</v>
      </c>
      <c r="V536" s="29" t="n">
        <v>0.876</v>
      </c>
      <c r="W536" s="28" t="n">
        <v>12.2</v>
      </c>
    </row>
    <row r="537" customFormat="false" ht="15" hidden="false" customHeight="false" outlineLevel="0" collapsed="false">
      <c r="A537" s="25" t="s">
        <v>769</v>
      </c>
      <c r="B537" s="25" t="s">
        <v>383</v>
      </c>
      <c r="C537" s="26" t="n">
        <v>46174</v>
      </c>
      <c r="D537" s="27" t="n">
        <v>31280</v>
      </c>
      <c r="E537" s="28" t="n">
        <v>681.2</v>
      </c>
      <c r="F537" s="29" t="n">
        <v>0.0512</v>
      </c>
      <c r="G537" s="29" t="n">
        <v>0.1661</v>
      </c>
      <c r="H537" s="30" t="n">
        <v>12.42</v>
      </c>
      <c r="I537" s="29" t="n">
        <v>0.0286</v>
      </c>
      <c r="J537" s="29" t="n">
        <v>0.019</v>
      </c>
      <c r="K537" s="29" t="n">
        <v>0.0286</v>
      </c>
      <c r="L537" s="27" t="n">
        <v>29</v>
      </c>
      <c r="M537" s="27" t="n">
        <v>22160</v>
      </c>
      <c r="N537" s="30" t="n">
        <v>39.11</v>
      </c>
      <c r="O537" s="30" t="n">
        <v>10.42</v>
      </c>
      <c r="P537" s="29" t="n">
        <v>0.01</v>
      </c>
      <c r="Q537" s="27" t="n">
        <v>549500</v>
      </c>
      <c r="R537" s="27" t="n">
        <v>146273</v>
      </c>
      <c r="S537" s="27" t="n">
        <v>194209</v>
      </c>
      <c r="T537" s="29" t="n">
        <v>0.83</v>
      </c>
      <c r="U537" s="29" t="n">
        <v>0.314</v>
      </c>
      <c r="V537" s="29" t="n">
        <v>0.875</v>
      </c>
      <c r="W537" s="28" t="n">
        <v>12.2</v>
      </c>
    </row>
    <row r="538" customFormat="false" ht="15" hidden="false" customHeight="false" outlineLevel="0" collapsed="false">
      <c r="A538" s="25" t="s">
        <v>770</v>
      </c>
      <c r="B538" s="25" t="s">
        <v>383</v>
      </c>
      <c r="C538" s="26" t="n">
        <v>46204</v>
      </c>
      <c r="D538" s="27" t="n">
        <v>33990</v>
      </c>
      <c r="E538" s="28" t="n">
        <v>683.9</v>
      </c>
      <c r="F538" s="29" t="n">
        <v>0.0473</v>
      </c>
      <c r="G538" s="29" t="n">
        <v>0.1678</v>
      </c>
      <c r="H538" s="30" t="n">
        <v>12.08</v>
      </c>
      <c r="I538" s="29" t="n">
        <v>0.0304</v>
      </c>
      <c r="J538" s="29" t="n">
        <v>0.0191</v>
      </c>
      <c r="K538" s="29" t="n">
        <v>0.0285</v>
      </c>
      <c r="L538" s="27" t="n">
        <v>30</v>
      </c>
      <c r="M538" s="27" t="n">
        <v>22180</v>
      </c>
      <c r="N538" s="30" t="n">
        <v>39.48</v>
      </c>
      <c r="O538" s="30" t="n">
        <v>10.27</v>
      </c>
      <c r="P538" s="29" t="n">
        <v>0.0099</v>
      </c>
      <c r="Q538" s="27" t="n">
        <v>549500</v>
      </c>
      <c r="R538" s="27" t="n">
        <v>148873</v>
      </c>
      <c r="S538" s="27" t="n">
        <v>188556</v>
      </c>
      <c r="T538" s="29" t="n">
        <v>0.814</v>
      </c>
      <c r="U538" s="29" t="n">
        <v>0.333</v>
      </c>
      <c r="V538" s="29" t="n">
        <v>0.877</v>
      </c>
      <c r="W538" s="28" t="n">
        <v>11.9</v>
      </c>
    </row>
    <row r="539" customFormat="false" ht="15" hidden="false" customHeight="false" outlineLevel="0" collapsed="false">
      <c r="A539" s="25" t="s">
        <v>771</v>
      </c>
      <c r="B539" s="25" t="s">
        <v>383</v>
      </c>
      <c r="C539" s="26" t="n">
        <v>46235</v>
      </c>
      <c r="D539" s="27" t="n">
        <v>32551</v>
      </c>
      <c r="E539" s="28" t="n">
        <v>685.4</v>
      </c>
      <c r="F539" s="29" t="n">
        <v>0.0508</v>
      </c>
      <c r="G539" s="29" t="n">
        <v>0.1704</v>
      </c>
      <c r="H539" s="30" t="n">
        <v>12.56</v>
      </c>
      <c r="I539" s="29" t="n">
        <v>0.0281</v>
      </c>
      <c r="J539" s="29" t="n">
        <v>0.0192</v>
      </c>
      <c r="K539" s="29" t="n">
        <v>0.0267</v>
      </c>
      <c r="L539" s="27" t="n">
        <v>28</v>
      </c>
      <c r="M539" s="27" t="n">
        <v>22200</v>
      </c>
      <c r="N539" s="30" t="n">
        <v>40.25</v>
      </c>
      <c r="O539" s="30" t="n">
        <v>10.78</v>
      </c>
      <c r="P539" s="29" t="n">
        <v>0.01</v>
      </c>
      <c r="Q539" s="27" t="n">
        <v>549500</v>
      </c>
      <c r="R539" s="27" t="n">
        <v>143178</v>
      </c>
      <c r="S539" s="27" t="n">
        <v>177900</v>
      </c>
      <c r="T539" s="29" t="n">
        <v>0.808</v>
      </c>
      <c r="U539" s="29" t="n">
        <v>0.316</v>
      </c>
      <c r="V539" s="29" t="n">
        <v>0.893</v>
      </c>
      <c r="W539" s="28" t="n">
        <v>11.5</v>
      </c>
    </row>
    <row r="540" customFormat="false" ht="15" hidden="false" customHeight="false" outlineLevel="0" collapsed="false">
      <c r="A540" s="25" t="s">
        <v>772</v>
      </c>
      <c r="B540" s="25" t="s">
        <v>383</v>
      </c>
      <c r="C540" s="26" t="n">
        <v>46266</v>
      </c>
      <c r="D540" s="27" t="n">
        <v>31110</v>
      </c>
      <c r="E540" s="28" t="n">
        <v>705</v>
      </c>
      <c r="F540" s="29" t="n">
        <v>0.0549</v>
      </c>
      <c r="G540" s="29" t="n">
        <v>0.1673</v>
      </c>
      <c r="H540" s="30" t="n">
        <v>12.59</v>
      </c>
      <c r="I540" s="29" t="n">
        <v>0.0289</v>
      </c>
      <c r="J540" s="29" t="n">
        <v>0.0192</v>
      </c>
      <c r="K540" s="29" t="n">
        <v>0.0323</v>
      </c>
      <c r="L540" s="27" t="n">
        <v>28</v>
      </c>
      <c r="M540" s="27" t="n">
        <v>22220</v>
      </c>
      <c r="N540" s="30" t="n">
        <v>39.95</v>
      </c>
      <c r="O540" s="30" t="n">
        <v>10.58</v>
      </c>
      <c r="P540" s="29" t="n">
        <v>0.0105</v>
      </c>
      <c r="Q540" s="27" t="n">
        <v>549500</v>
      </c>
      <c r="R540" s="27" t="n">
        <v>156974</v>
      </c>
      <c r="S540" s="27" t="n">
        <v>162244</v>
      </c>
      <c r="T540" s="29" t="n">
        <v>0.819</v>
      </c>
      <c r="U540" s="29" t="n">
        <v>0.295</v>
      </c>
      <c r="V540" s="29" t="n">
        <v>0.872</v>
      </c>
      <c r="W540" s="28" t="n">
        <v>11.6</v>
      </c>
    </row>
    <row r="541" customFormat="false" ht="15" hidden="false" customHeight="false" outlineLevel="0" collapsed="false">
      <c r="A541" s="25" t="s">
        <v>773</v>
      </c>
      <c r="B541" s="25" t="s">
        <v>385</v>
      </c>
      <c r="C541" s="26" t="n">
        <v>45931</v>
      </c>
      <c r="D541" s="27" t="n">
        <v>8336</v>
      </c>
      <c r="E541" s="28" t="n">
        <v>646.1</v>
      </c>
      <c r="F541" s="29" t="n">
        <v>0.0689</v>
      </c>
      <c r="G541" s="29" t="n">
        <v>0.1615</v>
      </c>
      <c r="H541" s="30" t="n">
        <v>11.61</v>
      </c>
      <c r="I541" s="29" t="n">
        <v>0.0206</v>
      </c>
      <c r="J541" s="29" t="n">
        <v>0.0442</v>
      </c>
      <c r="K541" s="29" t="n">
        <v>0.0519</v>
      </c>
      <c r="L541" s="27" t="n">
        <v>16</v>
      </c>
      <c r="M541" s="27" t="n">
        <v>22000</v>
      </c>
      <c r="N541" s="30" t="n">
        <v>46.31</v>
      </c>
      <c r="O541" s="30" t="n">
        <v>10.49</v>
      </c>
      <c r="P541" s="29" t="n">
        <v>0.01</v>
      </c>
      <c r="Q541" s="27" t="n">
        <v>436500</v>
      </c>
      <c r="R541" s="27" t="n">
        <v>184783</v>
      </c>
      <c r="S541" s="27" t="n">
        <v>128107</v>
      </c>
      <c r="T541" s="29" t="n">
        <v>0.667</v>
      </c>
      <c r="U541" s="29" t="n">
        <v>0.212</v>
      </c>
      <c r="V541" s="29" t="n">
        <v>0.845</v>
      </c>
      <c r="W541" s="28" t="n">
        <v>12.8</v>
      </c>
    </row>
    <row r="542" customFormat="false" ht="15" hidden="false" customHeight="false" outlineLevel="0" collapsed="false">
      <c r="A542" s="25" t="s">
        <v>774</v>
      </c>
      <c r="B542" s="25" t="s">
        <v>385</v>
      </c>
      <c r="C542" s="26" t="n">
        <v>45962</v>
      </c>
      <c r="D542" s="27" t="n">
        <v>9333</v>
      </c>
      <c r="E542" s="28" t="n">
        <v>669.7</v>
      </c>
      <c r="F542" s="29" t="n">
        <v>0.0644</v>
      </c>
      <c r="G542" s="29" t="n">
        <v>0.1657</v>
      </c>
      <c r="H542" s="30" t="n">
        <v>11.14</v>
      </c>
      <c r="I542" s="29" t="n">
        <v>0.0197</v>
      </c>
      <c r="J542" s="29" t="n">
        <v>0.0412</v>
      </c>
      <c r="K542" s="29" t="n">
        <v>0.0622</v>
      </c>
      <c r="L542" s="27" t="n">
        <v>16</v>
      </c>
      <c r="M542" s="27" t="n">
        <v>22020</v>
      </c>
      <c r="N542" s="30" t="n">
        <v>46.6</v>
      </c>
      <c r="O542" s="30" t="n">
        <v>10.88</v>
      </c>
      <c r="P542" s="29" t="n">
        <v>0.0098</v>
      </c>
      <c r="Q542" s="27" t="n">
        <v>436500</v>
      </c>
      <c r="R542" s="27" t="n">
        <v>172865</v>
      </c>
      <c r="S542" s="27" t="n">
        <v>133481</v>
      </c>
      <c r="T542" s="29" t="n">
        <v>0.681</v>
      </c>
      <c r="U542" s="29" t="n">
        <v>0.188</v>
      </c>
      <c r="V542" s="29" t="n">
        <v>0.839</v>
      </c>
      <c r="W542" s="28" t="n">
        <v>12.8</v>
      </c>
    </row>
    <row r="543" customFormat="false" ht="15" hidden="false" customHeight="false" outlineLevel="0" collapsed="false">
      <c r="A543" s="25" t="s">
        <v>775</v>
      </c>
      <c r="B543" s="25" t="s">
        <v>385</v>
      </c>
      <c r="C543" s="26" t="n">
        <v>45992</v>
      </c>
      <c r="D543" s="27" t="n">
        <v>11791</v>
      </c>
      <c r="E543" s="28" t="n">
        <v>669.1</v>
      </c>
      <c r="F543" s="29" t="n">
        <v>0.0632</v>
      </c>
      <c r="G543" s="29" t="n">
        <v>0.166</v>
      </c>
      <c r="H543" s="30" t="n">
        <v>11.45</v>
      </c>
      <c r="I543" s="29" t="n">
        <v>0.0198</v>
      </c>
      <c r="J543" s="29" t="n">
        <v>0.0408</v>
      </c>
      <c r="K543" s="29" t="n">
        <v>0.0461</v>
      </c>
      <c r="L543" s="27" t="n">
        <v>16</v>
      </c>
      <c r="M543" s="27" t="n">
        <v>22040</v>
      </c>
      <c r="N543" s="30" t="n">
        <v>45.8</v>
      </c>
      <c r="O543" s="30" t="n">
        <v>10.82</v>
      </c>
      <c r="P543" s="29" t="n">
        <v>0.0103</v>
      </c>
      <c r="Q543" s="27" t="n">
        <v>436500</v>
      </c>
      <c r="R543" s="27" t="n">
        <v>166387</v>
      </c>
      <c r="S543" s="27" t="n">
        <v>157786</v>
      </c>
      <c r="T543" s="29" t="n">
        <v>0.68</v>
      </c>
      <c r="U543" s="29" t="n">
        <v>0.196</v>
      </c>
      <c r="V543" s="29" t="n">
        <v>0.848</v>
      </c>
      <c r="W543" s="28" t="n">
        <v>12.4</v>
      </c>
    </row>
    <row r="544" customFormat="false" ht="15" hidden="false" customHeight="false" outlineLevel="0" collapsed="false">
      <c r="A544" s="25" t="s">
        <v>776</v>
      </c>
      <c r="B544" s="25" t="s">
        <v>385</v>
      </c>
      <c r="C544" s="26" t="n">
        <v>46023</v>
      </c>
      <c r="D544" s="27" t="n">
        <v>12674</v>
      </c>
      <c r="E544" s="28" t="n">
        <v>672.2</v>
      </c>
      <c r="F544" s="29" t="n">
        <v>0.0603</v>
      </c>
      <c r="G544" s="29" t="n">
        <v>0.1621</v>
      </c>
      <c r="H544" s="30" t="n">
        <v>11.48</v>
      </c>
      <c r="I544" s="29" t="n">
        <v>0.0197</v>
      </c>
      <c r="J544" s="29" t="n">
        <v>0.0395</v>
      </c>
      <c r="K544" s="29" t="n">
        <v>0.0588</v>
      </c>
      <c r="L544" s="27" t="n">
        <v>16</v>
      </c>
      <c r="M544" s="27" t="n">
        <v>22060</v>
      </c>
      <c r="N544" s="30" t="n">
        <v>45.26</v>
      </c>
      <c r="O544" s="30" t="n">
        <v>10.44</v>
      </c>
      <c r="P544" s="29" t="n">
        <v>0.0098</v>
      </c>
      <c r="Q544" s="27" t="n">
        <v>436500</v>
      </c>
      <c r="R544" s="27" t="n">
        <v>171040</v>
      </c>
      <c r="S544" s="27" t="n">
        <v>146014</v>
      </c>
      <c r="T544" s="29" t="n">
        <v>0.685</v>
      </c>
      <c r="U544" s="29" t="n">
        <v>0.216</v>
      </c>
      <c r="V544" s="29" t="n">
        <v>0.838</v>
      </c>
      <c r="W544" s="28" t="n">
        <v>12.3</v>
      </c>
    </row>
    <row r="545" customFormat="false" ht="15" hidden="false" customHeight="false" outlineLevel="0" collapsed="false">
      <c r="A545" s="25" t="s">
        <v>777</v>
      </c>
      <c r="B545" s="25" t="s">
        <v>385</v>
      </c>
      <c r="C545" s="26" t="n">
        <v>46054</v>
      </c>
      <c r="D545" s="27" t="n">
        <v>12038</v>
      </c>
      <c r="E545" s="28" t="n">
        <v>667.7</v>
      </c>
      <c r="F545" s="29" t="n">
        <v>0.0611</v>
      </c>
      <c r="G545" s="29" t="n">
        <v>0.1633</v>
      </c>
      <c r="H545" s="30" t="n">
        <v>11.41</v>
      </c>
      <c r="I545" s="29" t="n">
        <v>0.0214</v>
      </c>
      <c r="J545" s="29" t="n">
        <v>0.0396</v>
      </c>
      <c r="K545" s="29" t="n">
        <v>0.0548</v>
      </c>
      <c r="L545" s="27" t="n">
        <v>16</v>
      </c>
      <c r="M545" s="27" t="n">
        <v>22080</v>
      </c>
      <c r="N545" s="30" t="n">
        <v>45.92</v>
      </c>
      <c r="O545" s="30" t="n">
        <v>10.86</v>
      </c>
      <c r="P545" s="29" t="n">
        <v>0.0095</v>
      </c>
      <c r="Q545" s="27" t="n">
        <v>436500</v>
      </c>
      <c r="R545" s="27" t="n">
        <v>183054</v>
      </c>
      <c r="S545" s="27" t="n">
        <v>143143</v>
      </c>
      <c r="T545" s="29" t="n">
        <v>0.691</v>
      </c>
      <c r="U545" s="29" t="n">
        <v>0.221</v>
      </c>
      <c r="V545" s="29" t="n">
        <v>0.851</v>
      </c>
      <c r="W545" s="28" t="n">
        <v>12.7</v>
      </c>
    </row>
    <row r="546" customFormat="false" ht="15" hidden="false" customHeight="false" outlineLevel="0" collapsed="false">
      <c r="A546" s="25" t="s">
        <v>778</v>
      </c>
      <c r="B546" s="25" t="s">
        <v>385</v>
      </c>
      <c r="C546" s="26" t="n">
        <v>46082</v>
      </c>
      <c r="D546" s="27" t="n">
        <v>14070</v>
      </c>
      <c r="E546" s="28" t="n">
        <v>672.8</v>
      </c>
      <c r="F546" s="29" t="n">
        <v>0.0613</v>
      </c>
      <c r="G546" s="29" t="n">
        <v>0.1679</v>
      </c>
      <c r="H546" s="30" t="n">
        <v>11.36</v>
      </c>
      <c r="I546" s="29" t="n">
        <v>0.023</v>
      </c>
      <c r="J546" s="29" t="n">
        <v>0.037</v>
      </c>
      <c r="K546" s="29" t="n">
        <v>0.0606</v>
      </c>
      <c r="L546" s="27" t="n">
        <v>16</v>
      </c>
      <c r="M546" s="27" t="n">
        <v>22100</v>
      </c>
      <c r="N546" s="30" t="n">
        <v>43.08</v>
      </c>
      <c r="O546" s="30" t="n">
        <v>10.95</v>
      </c>
      <c r="P546" s="29" t="n">
        <v>0.0099</v>
      </c>
      <c r="Q546" s="27" t="n">
        <v>436500</v>
      </c>
      <c r="R546" s="27" t="n">
        <v>174478</v>
      </c>
      <c r="S546" s="27" t="n">
        <v>148193</v>
      </c>
      <c r="T546" s="29" t="n">
        <v>0.721</v>
      </c>
      <c r="U546" s="29" t="n">
        <v>0.195</v>
      </c>
      <c r="V546" s="29" t="n">
        <v>0.813</v>
      </c>
      <c r="W546" s="28" t="n">
        <v>13.1</v>
      </c>
    </row>
    <row r="547" customFormat="false" ht="15" hidden="false" customHeight="false" outlineLevel="0" collapsed="false">
      <c r="A547" s="25" t="s">
        <v>779</v>
      </c>
      <c r="B547" s="25" t="s">
        <v>385</v>
      </c>
      <c r="C547" s="26" t="n">
        <v>46113</v>
      </c>
      <c r="D547" s="27" t="n">
        <v>15486</v>
      </c>
      <c r="E547" s="28" t="n">
        <v>656</v>
      </c>
      <c r="F547" s="29" t="n">
        <v>0.0586</v>
      </c>
      <c r="G547" s="29" t="n">
        <v>0.1636</v>
      </c>
      <c r="H547" s="30" t="n">
        <v>11.66</v>
      </c>
      <c r="I547" s="29" t="n">
        <v>0.0218</v>
      </c>
      <c r="J547" s="29" t="n">
        <v>0.0374</v>
      </c>
      <c r="K547" s="29" t="n">
        <v>0.0542</v>
      </c>
      <c r="L547" s="27" t="n">
        <v>16</v>
      </c>
      <c r="M547" s="27" t="n">
        <v>22120</v>
      </c>
      <c r="N547" s="30" t="n">
        <v>43.52</v>
      </c>
      <c r="O547" s="30" t="n">
        <v>10.35</v>
      </c>
      <c r="P547" s="29" t="n">
        <v>0.0101</v>
      </c>
      <c r="Q547" s="27" t="n">
        <v>436500</v>
      </c>
      <c r="R547" s="27" t="n">
        <v>175532</v>
      </c>
      <c r="S547" s="27" t="n">
        <v>143115</v>
      </c>
      <c r="T547" s="29" t="n">
        <v>0.733</v>
      </c>
      <c r="U547" s="29" t="n">
        <v>0.204</v>
      </c>
      <c r="V547" s="29" t="n">
        <v>0.856</v>
      </c>
      <c r="W547" s="28" t="n">
        <v>12</v>
      </c>
    </row>
    <row r="548" customFormat="false" ht="15" hidden="false" customHeight="false" outlineLevel="0" collapsed="false">
      <c r="A548" s="25" t="s">
        <v>780</v>
      </c>
      <c r="B548" s="25" t="s">
        <v>385</v>
      </c>
      <c r="C548" s="26" t="n">
        <v>46143</v>
      </c>
      <c r="D548" s="27" t="n">
        <v>18330</v>
      </c>
      <c r="E548" s="28" t="n">
        <v>655.9</v>
      </c>
      <c r="F548" s="29" t="n">
        <v>0.0581</v>
      </c>
      <c r="G548" s="29" t="n">
        <v>0.1633</v>
      </c>
      <c r="H548" s="30" t="n">
        <v>11.59</v>
      </c>
      <c r="I548" s="29" t="n">
        <v>0.0223</v>
      </c>
      <c r="J548" s="29" t="n">
        <v>0.035</v>
      </c>
      <c r="K548" s="29" t="n">
        <v>0.057</v>
      </c>
      <c r="L548" s="27" t="n">
        <v>16</v>
      </c>
      <c r="M548" s="27" t="n">
        <v>22140</v>
      </c>
      <c r="N548" s="30" t="n">
        <v>43.77</v>
      </c>
      <c r="O548" s="30" t="n">
        <v>10.92</v>
      </c>
      <c r="P548" s="29" t="n">
        <v>0.0102</v>
      </c>
      <c r="Q548" s="27" t="n">
        <v>436500</v>
      </c>
      <c r="R548" s="27" t="n">
        <v>170599</v>
      </c>
      <c r="S548" s="27" t="n">
        <v>174111</v>
      </c>
      <c r="T548" s="29" t="n">
        <v>0.695</v>
      </c>
      <c r="U548" s="29" t="n">
        <v>0.218</v>
      </c>
      <c r="V548" s="29" t="n">
        <v>0.84</v>
      </c>
      <c r="W548" s="28" t="n">
        <v>13.4</v>
      </c>
    </row>
    <row r="549" customFormat="false" ht="15" hidden="false" customHeight="false" outlineLevel="0" collapsed="false">
      <c r="A549" s="25" t="s">
        <v>781</v>
      </c>
      <c r="B549" s="25" t="s">
        <v>385</v>
      </c>
      <c r="C549" s="26" t="n">
        <v>46174</v>
      </c>
      <c r="D549" s="27" t="n">
        <v>17578</v>
      </c>
      <c r="E549" s="28" t="n">
        <v>665.7</v>
      </c>
      <c r="F549" s="29" t="n">
        <v>0.0547</v>
      </c>
      <c r="G549" s="29" t="n">
        <v>0.1629</v>
      </c>
      <c r="H549" s="30" t="n">
        <v>11.34</v>
      </c>
      <c r="I549" s="29" t="n">
        <v>0.0239</v>
      </c>
      <c r="J549" s="29" t="n">
        <v>0.0353</v>
      </c>
      <c r="K549" s="29" t="n">
        <v>0.0598</v>
      </c>
      <c r="L549" s="27" t="n">
        <v>16</v>
      </c>
      <c r="M549" s="27" t="n">
        <v>22160</v>
      </c>
      <c r="N549" s="30" t="n">
        <v>42.29</v>
      </c>
      <c r="O549" s="30" t="n">
        <v>10.79</v>
      </c>
      <c r="P549" s="29" t="n">
        <v>0.0101</v>
      </c>
      <c r="Q549" s="27" t="n">
        <v>436500</v>
      </c>
      <c r="R549" s="27" t="n">
        <v>178832</v>
      </c>
      <c r="S549" s="27" t="n">
        <v>143501</v>
      </c>
      <c r="T549" s="29" t="n">
        <v>0.759</v>
      </c>
      <c r="U549" s="29" t="n">
        <v>0.213</v>
      </c>
      <c r="V549" s="29" t="n">
        <v>0.832</v>
      </c>
      <c r="W549" s="28" t="n">
        <v>12.7</v>
      </c>
    </row>
    <row r="550" customFormat="false" ht="15" hidden="false" customHeight="false" outlineLevel="0" collapsed="false">
      <c r="A550" s="25" t="s">
        <v>782</v>
      </c>
      <c r="B550" s="25" t="s">
        <v>385</v>
      </c>
      <c r="C550" s="26" t="n">
        <v>46204</v>
      </c>
      <c r="D550" s="27" t="n">
        <v>17645</v>
      </c>
      <c r="E550" s="28" t="n">
        <v>652.4</v>
      </c>
      <c r="F550" s="29" t="n">
        <v>0.058</v>
      </c>
      <c r="G550" s="29" t="n">
        <v>0.1625</v>
      </c>
      <c r="H550" s="30" t="n">
        <v>10.87</v>
      </c>
      <c r="I550" s="29" t="n">
        <v>0.0229</v>
      </c>
      <c r="J550" s="29" t="n">
        <v>0.0361</v>
      </c>
      <c r="K550" s="29" t="n">
        <v>0.0512</v>
      </c>
      <c r="L550" s="27" t="n">
        <v>16</v>
      </c>
      <c r="M550" s="27" t="n">
        <v>22180</v>
      </c>
      <c r="N550" s="30" t="n">
        <v>43.09</v>
      </c>
      <c r="O550" s="30" t="n">
        <v>10.44</v>
      </c>
      <c r="P550" s="29" t="n">
        <v>0.0099</v>
      </c>
      <c r="Q550" s="27" t="n">
        <v>436500</v>
      </c>
      <c r="R550" s="27" t="n">
        <v>184385</v>
      </c>
      <c r="S550" s="27" t="n">
        <v>136027</v>
      </c>
      <c r="T550" s="29" t="n">
        <v>0.767</v>
      </c>
      <c r="U550" s="29" t="n">
        <v>0.202</v>
      </c>
      <c r="V550" s="29" t="n">
        <v>0.859</v>
      </c>
      <c r="W550" s="28" t="n">
        <v>11.8</v>
      </c>
    </row>
    <row r="551" customFormat="false" ht="15" hidden="false" customHeight="false" outlineLevel="0" collapsed="false">
      <c r="A551" s="25" t="s">
        <v>783</v>
      </c>
      <c r="B551" s="25" t="s">
        <v>385</v>
      </c>
      <c r="C551" s="26" t="n">
        <v>46235</v>
      </c>
      <c r="D551" s="27" t="n">
        <v>18214</v>
      </c>
      <c r="E551" s="28" t="n">
        <v>678.3</v>
      </c>
      <c r="F551" s="29" t="n">
        <v>0.0563</v>
      </c>
      <c r="G551" s="29" t="n">
        <v>0.1636</v>
      </c>
      <c r="H551" s="30" t="n">
        <v>11.64</v>
      </c>
      <c r="I551" s="29" t="n">
        <v>0.0262</v>
      </c>
      <c r="J551" s="29" t="n">
        <v>0.0356</v>
      </c>
      <c r="K551" s="29" t="n">
        <v>0.0513</v>
      </c>
      <c r="L551" s="27" t="n">
        <v>16</v>
      </c>
      <c r="M551" s="27" t="n">
        <v>22200</v>
      </c>
      <c r="N551" s="30" t="n">
        <v>43.05</v>
      </c>
      <c r="O551" s="30" t="n">
        <v>10.57</v>
      </c>
      <c r="P551" s="29" t="n">
        <v>0.0101</v>
      </c>
      <c r="Q551" s="27" t="n">
        <v>436500</v>
      </c>
      <c r="R551" s="27" t="n">
        <v>192272</v>
      </c>
      <c r="S551" s="27" t="n">
        <v>135698</v>
      </c>
      <c r="T551" s="29" t="n">
        <v>0.753</v>
      </c>
      <c r="U551" s="29" t="n">
        <v>0.211</v>
      </c>
      <c r="V551" s="29" t="n">
        <v>0.852</v>
      </c>
      <c r="W551" s="28" t="n">
        <v>12.7</v>
      </c>
    </row>
    <row r="552" customFormat="false" ht="15" hidden="false" customHeight="false" outlineLevel="0" collapsed="false">
      <c r="A552" s="25" t="s">
        <v>784</v>
      </c>
      <c r="B552" s="25" t="s">
        <v>385</v>
      </c>
      <c r="C552" s="26" t="n">
        <v>46266</v>
      </c>
      <c r="D552" s="27" t="n">
        <v>18402</v>
      </c>
      <c r="E552" s="28" t="n">
        <v>666.3</v>
      </c>
      <c r="F552" s="29" t="n">
        <v>0.057</v>
      </c>
      <c r="G552" s="29" t="n">
        <v>0.1584</v>
      </c>
      <c r="H552" s="30" t="n">
        <v>11.98</v>
      </c>
      <c r="I552" s="29" t="n">
        <v>0.0227</v>
      </c>
      <c r="J552" s="29" t="n">
        <v>0.0349</v>
      </c>
      <c r="K552" s="29" t="n">
        <v>0.0559</v>
      </c>
      <c r="L552" s="27" t="n">
        <v>16</v>
      </c>
      <c r="M552" s="27" t="n">
        <v>22220</v>
      </c>
      <c r="N552" s="30" t="n">
        <v>42.45</v>
      </c>
      <c r="O552" s="30" t="n">
        <v>10.13</v>
      </c>
      <c r="P552" s="29" t="n">
        <v>0.0099</v>
      </c>
      <c r="Q552" s="27" t="n">
        <v>436500</v>
      </c>
      <c r="R552" s="27" t="n">
        <v>186223</v>
      </c>
      <c r="S552" s="27" t="n">
        <v>132559</v>
      </c>
      <c r="T552" s="29" t="n">
        <v>0.771</v>
      </c>
      <c r="U552" s="29" t="n">
        <v>0.212</v>
      </c>
      <c r="V552" s="29" t="n">
        <v>0.845</v>
      </c>
      <c r="W552" s="28" t="n">
        <v>12.3</v>
      </c>
    </row>
    <row r="553" customFormat="false" ht="15" hidden="false" customHeight="false" outlineLevel="0" collapsed="false">
      <c r="A553" s="25" t="s">
        <v>785</v>
      </c>
      <c r="B553" s="25" t="s">
        <v>382</v>
      </c>
      <c r="C553" s="26" t="n">
        <v>45931</v>
      </c>
      <c r="D553" s="27" t="n">
        <v>2331</v>
      </c>
      <c r="E553" s="28" t="n">
        <v>650.4</v>
      </c>
      <c r="F553" s="29" t="n">
        <v>0.0919</v>
      </c>
      <c r="G553" s="29" t="n">
        <v>0.1651</v>
      </c>
      <c r="H553" s="30" t="n">
        <v>13.14</v>
      </c>
      <c r="I553" s="29" t="n">
        <v>0.0169</v>
      </c>
      <c r="J553" s="29" t="n">
        <v>0.0401</v>
      </c>
      <c r="K553" s="29" t="n">
        <v>0.0341</v>
      </c>
      <c r="L553" s="27" t="n">
        <v>16</v>
      </c>
      <c r="M553" s="27" t="n">
        <v>22000</v>
      </c>
      <c r="N553" s="30" t="n">
        <v>51.56</v>
      </c>
      <c r="O553" s="30" t="n">
        <v>10.29</v>
      </c>
      <c r="P553" s="29" t="n">
        <v>0.0103</v>
      </c>
      <c r="Q553" s="27" t="n">
        <v>715000</v>
      </c>
      <c r="R553" s="27" t="n">
        <v>189018</v>
      </c>
      <c r="S553" s="27" t="n">
        <v>47488</v>
      </c>
      <c r="T553" s="29" t="n">
        <v>0.557</v>
      </c>
      <c r="U553" s="29" t="n">
        <v>0.341</v>
      </c>
      <c r="V553" s="29" t="n">
        <v>0.887</v>
      </c>
      <c r="W553" s="28" t="n">
        <v>11.5</v>
      </c>
    </row>
    <row r="554" customFormat="false" ht="15" hidden="false" customHeight="false" outlineLevel="0" collapsed="false">
      <c r="A554" s="25" t="s">
        <v>786</v>
      </c>
      <c r="B554" s="25" t="s">
        <v>382</v>
      </c>
      <c r="C554" s="26" t="n">
        <v>45962</v>
      </c>
      <c r="D554" s="27" t="n">
        <v>2110</v>
      </c>
      <c r="E554" s="28" t="n">
        <v>648.6</v>
      </c>
      <c r="F554" s="29" t="n">
        <v>0.0908</v>
      </c>
      <c r="G554" s="29" t="n">
        <v>0.165</v>
      </c>
      <c r="H554" s="30" t="n">
        <v>12.89</v>
      </c>
      <c r="I554" s="29" t="n">
        <v>0.0184</v>
      </c>
      <c r="J554" s="29" t="n">
        <v>0.0394</v>
      </c>
      <c r="K554" s="29" t="n">
        <v>0.0364</v>
      </c>
      <c r="L554" s="27" t="n">
        <v>16</v>
      </c>
      <c r="M554" s="27" t="n">
        <v>22020</v>
      </c>
      <c r="N554" s="30" t="n">
        <v>50.73</v>
      </c>
      <c r="O554" s="30" t="n">
        <v>10.45</v>
      </c>
      <c r="P554" s="29" t="n">
        <v>0.0103</v>
      </c>
      <c r="Q554" s="27" t="n">
        <v>715000</v>
      </c>
      <c r="R554" s="27" t="n">
        <v>183747</v>
      </c>
      <c r="S554" s="27" t="n">
        <v>41967</v>
      </c>
      <c r="T554" s="29" t="n">
        <v>0.562</v>
      </c>
      <c r="U554" s="29" t="n">
        <v>0.349</v>
      </c>
      <c r="V554" s="29" t="n">
        <v>0.863</v>
      </c>
      <c r="W554" s="28" t="n">
        <v>12.1</v>
      </c>
    </row>
    <row r="555" customFormat="false" ht="15" hidden="false" customHeight="false" outlineLevel="0" collapsed="false">
      <c r="A555" s="25" t="s">
        <v>787</v>
      </c>
      <c r="B555" s="25" t="s">
        <v>382</v>
      </c>
      <c r="C555" s="26" t="n">
        <v>45992</v>
      </c>
      <c r="D555" s="27" t="n">
        <v>2082</v>
      </c>
      <c r="E555" s="28" t="n">
        <v>645</v>
      </c>
      <c r="F555" s="29" t="n">
        <v>0.0882</v>
      </c>
      <c r="G555" s="29" t="n">
        <v>0.1641</v>
      </c>
      <c r="H555" s="30" t="n">
        <v>12.83</v>
      </c>
      <c r="I555" s="29" t="n">
        <v>0.0144</v>
      </c>
      <c r="J555" s="29" t="n">
        <v>0.0375</v>
      </c>
      <c r="K555" s="29" t="n">
        <v>0.0298</v>
      </c>
      <c r="L555" s="27" t="n">
        <v>16</v>
      </c>
      <c r="M555" s="27" t="n">
        <v>22040</v>
      </c>
      <c r="N555" s="30" t="n">
        <v>49.61</v>
      </c>
      <c r="O555" s="30" t="n">
        <v>10.71</v>
      </c>
      <c r="P555" s="29" t="n">
        <v>0.0104</v>
      </c>
      <c r="Q555" s="27" t="n">
        <v>715000</v>
      </c>
      <c r="R555" s="27" t="n">
        <v>193184</v>
      </c>
      <c r="S555" s="27" t="n">
        <v>39963</v>
      </c>
      <c r="T555" s="29" t="n">
        <v>0.594</v>
      </c>
      <c r="U555" s="29" t="n">
        <v>0.338</v>
      </c>
      <c r="V555" s="29" t="n">
        <v>0.887</v>
      </c>
      <c r="W555" s="28" t="n">
        <v>12</v>
      </c>
    </row>
    <row r="556" customFormat="false" ht="15" hidden="false" customHeight="false" outlineLevel="0" collapsed="false">
      <c r="A556" s="25" t="s">
        <v>788</v>
      </c>
      <c r="B556" s="25" t="s">
        <v>382</v>
      </c>
      <c r="C556" s="26" t="n">
        <v>46023</v>
      </c>
      <c r="D556" s="27" t="n">
        <v>2335</v>
      </c>
      <c r="E556" s="28" t="n">
        <v>663.4</v>
      </c>
      <c r="F556" s="29" t="n">
        <v>0.089</v>
      </c>
      <c r="G556" s="29" t="n">
        <v>0.1648</v>
      </c>
      <c r="H556" s="30" t="n">
        <v>12.95</v>
      </c>
      <c r="I556" s="29" t="n">
        <v>0.0164</v>
      </c>
      <c r="J556" s="29" t="n">
        <v>0.0378</v>
      </c>
      <c r="K556" s="29" t="n">
        <v>0.0321</v>
      </c>
      <c r="L556" s="27" t="n">
        <v>16</v>
      </c>
      <c r="M556" s="27" t="n">
        <v>22060</v>
      </c>
      <c r="N556" s="30" t="n">
        <v>50.11</v>
      </c>
      <c r="O556" s="30" t="n">
        <v>10.38</v>
      </c>
      <c r="P556" s="29" t="n">
        <v>0.0103</v>
      </c>
      <c r="Q556" s="27" t="n">
        <v>715000</v>
      </c>
      <c r="R556" s="27" t="n">
        <v>179251</v>
      </c>
      <c r="S556" s="27" t="n">
        <v>47268</v>
      </c>
      <c r="T556" s="29" t="n">
        <v>0.579</v>
      </c>
      <c r="U556" s="29" t="n">
        <v>0.33</v>
      </c>
      <c r="V556" s="29" t="n">
        <v>0.886</v>
      </c>
      <c r="W556" s="28" t="n">
        <v>11.4</v>
      </c>
    </row>
    <row r="557" customFormat="false" ht="15" hidden="false" customHeight="false" outlineLevel="0" collapsed="false">
      <c r="A557" s="25" t="s">
        <v>789</v>
      </c>
      <c r="B557" s="25" t="s">
        <v>382</v>
      </c>
      <c r="C557" s="26" t="n">
        <v>46054</v>
      </c>
      <c r="D557" s="27" t="n">
        <v>2084</v>
      </c>
      <c r="E557" s="28" t="n">
        <v>646.9</v>
      </c>
      <c r="F557" s="29" t="n">
        <v>0.0896</v>
      </c>
      <c r="G557" s="29" t="n">
        <v>0.1676</v>
      </c>
      <c r="H557" s="30" t="n">
        <v>13.16</v>
      </c>
      <c r="I557" s="29" t="n">
        <v>0.0157</v>
      </c>
      <c r="J557" s="29" t="n">
        <v>0.0396</v>
      </c>
      <c r="K557" s="29" t="n">
        <v>0.0291</v>
      </c>
      <c r="L557" s="27" t="n">
        <v>16</v>
      </c>
      <c r="M557" s="27" t="n">
        <v>22080</v>
      </c>
      <c r="N557" s="30" t="n">
        <v>50.26</v>
      </c>
      <c r="O557" s="30" t="n">
        <v>10.44</v>
      </c>
      <c r="P557" s="29" t="n">
        <v>0.0103</v>
      </c>
      <c r="Q557" s="27" t="n">
        <v>715000</v>
      </c>
      <c r="R557" s="27" t="n">
        <v>185750</v>
      </c>
      <c r="S557" s="27" t="n">
        <v>40945</v>
      </c>
      <c r="T557" s="29" t="n">
        <v>0.582</v>
      </c>
      <c r="U557" s="29" t="n">
        <v>0.346</v>
      </c>
      <c r="V557" s="29" t="n">
        <v>0.884</v>
      </c>
      <c r="W557" s="28" t="n">
        <v>11.7</v>
      </c>
    </row>
    <row r="558" customFormat="false" ht="15" hidden="false" customHeight="false" outlineLevel="0" collapsed="false">
      <c r="A558" s="25" t="s">
        <v>790</v>
      </c>
      <c r="B558" s="25" t="s">
        <v>382</v>
      </c>
      <c r="C558" s="26" t="n">
        <v>46082</v>
      </c>
      <c r="D558" s="27" t="n">
        <v>2302</v>
      </c>
      <c r="E558" s="28" t="n">
        <v>647.8</v>
      </c>
      <c r="F558" s="29" t="n">
        <v>0.09</v>
      </c>
      <c r="G558" s="29" t="n">
        <v>0.165</v>
      </c>
      <c r="H558" s="30" t="n">
        <v>12.15</v>
      </c>
      <c r="I558" s="29" t="n">
        <v>0.0175</v>
      </c>
      <c r="J558" s="29" t="n">
        <v>0.0388</v>
      </c>
      <c r="K558" s="29" t="n">
        <v>0.0328</v>
      </c>
      <c r="L558" s="27" t="n">
        <v>16</v>
      </c>
      <c r="M558" s="27" t="n">
        <v>22100</v>
      </c>
      <c r="N558" s="30" t="n">
        <v>49.6</v>
      </c>
      <c r="O558" s="30" t="n">
        <v>10.6</v>
      </c>
      <c r="P558" s="29" t="n">
        <v>0.0096</v>
      </c>
      <c r="Q558" s="27" t="n">
        <v>715000</v>
      </c>
      <c r="R558" s="27" t="n">
        <v>184370</v>
      </c>
      <c r="S558" s="27" t="n">
        <v>46540</v>
      </c>
      <c r="T558" s="29" t="n">
        <v>0.601</v>
      </c>
      <c r="U558" s="29" t="n">
        <v>0.34</v>
      </c>
      <c r="V558" s="29" t="n">
        <v>0.876</v>
      </c>
      <c r="W558" s="28" t="n">
        <v>11.7</v>
      </c>
    </row>
    <row r="559" customFormat="false" ht="15" hidden="false" customHeight="false" outlineLevel="0" collapsed="false">
      <c r="A559" s="25" t="s">
        <v>791</v>
      </c>
      <c r="B559" s="25" t="s">
        <v>382</v>
      </c>
      <c r="C559" s="26" t="n">
        <v>46113</v>
      </c>
      <c r="D559" s="27" t="n">
        <v>2127</v>
      </c>
      <c r="E559" s="28" t="n">
        <v>648.9</v>
      </c>
      <c r="F559" s="29" t="n">
        <v>0.086</v>
      </c>
      <c r="G559" s="29" t="n">
        <v>0.1683</v>
      </c>
      <c r="H559" s="30" t="n">
        <v>12.27</v>
      </c>
      <c r="I559" s="29" t="n">
        <v>0.0172</v>
      </c>
      <c r="J559" s="29" t="n">
        <v>0.0384</v>
      </c>
      <c r="K559" s="29" t="n">
        <v>0.028</v>
      </c>
      <c r="L559" s="27" t="n">
        <v>16</v>
      </c>
      <c r="M559" s="27" t="n">
        <v>22120</v>
      </c>
      <c r="N559" s="30" t="n">
        <v>51.3</v>
      </c>
      <c r="O559" s="30" t="n">
        <v>10.61</v>
      </c>
      <c r="P559" s="29" t="n">
        <v>0.0098</v>
      </c>
      <c r="Q559" s="27" t="n">
        <v>715000</v>
      </c>
      <c r="R559" s="27" t="n">
        <v>188506</v>
      </c>
      <c r="S559" s="27" t="n">
        <v>42689</v>
      </c>
      <c r="T559" s="29" t="n">
        <v>0.584</v>
      </c>
      <c r="U559" s="29" t="n">
        <v>0.327</v>
      </c>
      <c r="V559" s="29" t="n">
        <v>0.892</v>
      </c>
      <c r="W559" s="28" t="n">
        <v>11.6</v>
      </c>
    </row>
    <row r="560" customFormat="false" ht="15" hidden="false" customHeight="false" outlineLevel="0" collapsed="false">
      <c r="A560" s="25" t="s">
        <v>792</v>
      </c>
      <c r="B560" s="25" t="s">
        <v>382</v>
      </c>
      <c r="C560" s="26" t="n">
        <v>46143</v>
      </c>
      <c r="D560" s="27" t="n">
        <v>2495</v>
      </c>
      <c r="E560" s="28" t="n">
        <v>649.2</v>
      </c>
      <c r="F560" s="29" t="n">
        <v>0.0876</v>
      </c>
      <c r="G560" s="29" t="n">
        <v>0.1636</v>
      </c>
      <c r="H560" s="30" t="n">
        <v>13.14</v>
      </c>
      <c r="I560" s="29" t="n">
        <v>0.0176</v>
      </c>
      <c r="J560" s="29" t="n">
        <v>0.0384</v>
      </c>
      <c r="K560" s="29" t="n">
        <v>0.0338</v>
      </c>
      <c r="L560" s="27" t="n">
        <v>16</v>
      </c>
      <c r="M560" s="27" t="n">
        <v>22140</v>
      </c>
      <c r="N560" s="30" t="n">
        <v>50.46</v>
      </c>
      <c r="O560" s="30" t="n">
        <v>10.61</v>
      </c>
      <c r="P560" s="29" t="n">
        <v>0.0097</v>
      </c>
      <c r="Q560" s="27" t="n">
        <v>715000</v>
      </c>
      <c r="R560" s="27" t="n">
        <v>191052</v>
      </c>
      <c r="S560" s="27" t="n">
        <v>50677</v>
      </c>
      <c r="T560" s="29" t="n">
        <v>0.556</v>
      </c>
      <c r="U560" s="29" t="n">
        <v>0.309</v>
      </c>
      <c r="V560" s="29" t="n">
        <v>0.89</v>
      </c>
      <c r="W560" s="28" t="n">
        <v>11.8</v>
      </c>
    </row>
    <row r="561" customFormat="false" ht="15" hidden="false" customHeight="false" outlineLevel="0" collapsed="false">
      <c r="A561" s="25" t="s">
        <v>793</v>
      </c>
      <c r="B561" s="25" t="s">
        <v>382</v>
      </c>
      <c r="C561" s="26" t="n">
        <v>46174</v>
      </c>
      <c r="D561" s="27" t="n">
        <v>2138</v>
      </c>
      <c r="E561" s="28" t="n">
        <v>641</v>
      </c>
      <c r="F561" s="29" t="n">
        <v>0.0887</v>
      </c>
      <c r="G561" s="29" t="n">
        <v>0.1612</v>
      </c>
      <c r="H561" s="30" t="n">
        <v>13.39</v>
      </c>
      <c r="I561" s="29" t="n">
        <v>0.016</v>
      </c>
      <c r="J561" s="29" t="n">
        <v>0.0399</v>
      </c>
      <c r="K561" s="29" t="n">
        <v>0.0343</v>
      </c>
      <c r="L561" s="27" t="n">
        <v>16</v>
      </c>
      <c r="M561" s="27" t="n">
        <v>22160</v>
      </c>
      <c r="N561" s="30" t="n">
        <v>51</v>
      </c>
      <c r="O561" s="30" t="n">
        <v>10.59</v>
      </c>
      <c r="P561" s="29" t="n">
        <v>0.0102</v>
      </c>
      <c r="Q561" s="27" t="n">
        <v>715000</v>
      </c>
      <c r="R561" s="27" t="n">
        <v>191641</v>
      </c>
      <c r="S561" s="27" t="n">
        <v>41346</v>
      </c>
      <c r="T561" s="29" t="n">
        <v>0.585</v>
      </c>
      <c r="U561" s="29" t="n">
        <v>0.329</v>
      </c>
      <c r="V561" s="29" t="n">
        <v>0.883</v>
      </c>
      <c r="W561" s="28" t="n">
        <v>11.6</v>
      </c>
    </row>
    <row r="562" customFormat="false" ht="15" hidden="false" customHeight="false" outlineLevel="0" collapsed="false">
      <c r="A562" s="25" t="s">
        <v>794</v>
      </c>
      <c r="B562" s="25" t="s">
        <v>382</v>
      </c>
      <c r="C562" s="26" t="n">
        <v>46204</v>
      </c>
      <c r="D562" s="27" t="n">
        <v>4209</v>
      </c>
      <c r="E562" s="28" t="n">
        <v>639.8</v>
      </c>
      <c r="F562" s="29" t="n">
        <v>0.0848</v>
      </c>
      <c r="G562" s="29" t="n">
        <v>0.1631</v>
      </c>
      <c r="H562" s="30" t="n">
        <v>12.78</v>
      </c>
      <c r="I562" s="29" t="n">
        <v>0.0191</v>
      </c>
      <c r="J562" s="29" t="n">
        <v>0.0375</v>
      </c>
      <c r="K562" s="29" t="n">
        <v>0.0326</v>
      </c>
      <c r="L562" s="27" t="n">
        <v>16</v>
      </c>
      <c r="M562" s="27" t="n">
        <v>22180</v>
      </c>
      <c r="N562" s="30" t="n">
        <v>49.46</v>
      </c>
      <c r="O562" s="30" t="n">
        <v>10.74</v>
      </c>
      <c r="P562" s="29" t="n">
        <v>0.0097</v>
      </c>
      <c r="Q562" s="27" t="n">
        <v>715000</v>
      </c>
      <c r="R562" s="27" t="n">
        <v>189761</v>
      </c>
      <c r="S562" s="27" t="n">
        <v>76961</v>
      </c>
      <c r="T562" s="29" t="n">
        <v>0.615</v>
      </c>
      <c r="U562" s="29" t="n">
        <v>0.333</v>
      </c>
      <c r="V562" s="29" t="n">
        <v>0.878</v>
      </c>
      <c r="W562" s="28" t="n">
        <v>12.3</v>
      </c>
    </row>
    <row r="563" customFormat="false" ht="15" hidden="false" customHeight="false" outlineLevel="0" collapsed="false">
      <c r="A563" s="25" t="s">
        <v>795</v>
      </c>
      <c r="B563" s="25" t="s">
        <v>382</v>
      </c>
      <c r="C563" s="26" t="n">
        <v>46235</v>
      </c>
      <c r="D563" s="27" t="n">
        <v>6234</v>
      </c>
      <c r="E563" s="28" t="n">
        <v>634.4</v>
      </c>
      <c r="F563" s="29" t="n">
        <v>0.0779</v>
      </c>
      <c r="G563" s="29" t="n">
        <v>0.1627</v>
      </c>
      <c r="H563" s="30" t="n">
        <v>13.88</v>
      </c>
      <c r="I563" s="29" t="n">
        <v>0.0183</v>
      </c>
      <c r="J563" s="29" t="n">
        <v>0.0361</v>
      </c>
      <c r="K563" s="29" t="n">
        <v>0.033</v>
      </c>
      <c r="L563" s="27" t="n">
        <v>16</v>
      </c>
      <c r="M563" s="27" t="n">
        <v>22200</v>
      </c>
      <c r="N563" s="30" t="n">
        <v>49.07</v>
      </c>
      <c r="O563" s="30" t="n">
        <v>10.63</v>
      </c>
      <c r="P563" s="29" t="n">
        <v>0.0105</v>
      </c>
      <c r="Q563" s="27" t="n">
        <v>715000</v>
      </c>
      <c r="R563" s="27" t="n">
        <v>191702</v>
      </c>
      <c r="S563" s="27" t="n">
        <v>104229</v>
      </c>
      <c r="T563" s="29" t="n">
        <v>0.626</v>
      </c>
      <c r="U563" s="29" t="n">
        <v>0.324</v>
      </c>
      <c r="V563" s="29" t="n">
        <v>0.875</v>
      </c>
      <c r="W563" s="28" t="n">
        <v>11.8</v>
      </c>
    </row>
    <row r="564" customFormat="false" ht="15" hidden="false" customHeight="false" outlineLevel="0" collapsed="false">
      <c r="A564" s="25" t="s">
        <v>796</v>
      </c>
      <c r="B564" s="25" t="s">
        <v>382</v>
      </c>
      <c r="C564" s="26" t="n">
        <v>46266</v>
      </c>
      <c r="D564" s="27" t="n">
        <v>8212</v>
      </c>
      <c r="E564" s="28" t="n">
        <v>639.3</v>
      </c>
      <c r="F564" s="29" t="n">
        <v>0.0805</v>
      </c>
      <c r="G564" s="29" t="n">
        <v>0.1666</v>
      </c>
      <c r="H564" s="30" t="n">
        <v>12.34</v>
      </c>
      <c r="I564" s="29" t="n">
        <v>0.0194</v>
      </c>
      <c r="J564" s="29" t="n">
        <v>0.0342</v>
      </c>
      <c r="K564" s="29" t="n">
        <v>0.0296</v>
      </c>
      <c r="L564" s="27" t="n">
        <v>16</v>
      </c>
      <c r="M564" s="27" t="n">
        <v>22220</v>
      </c>
      <c r="N564" s="30" t="n">
        <v>47.92</v>
      </c>
      <c r="O564" s="30" t="n">
        <v>10.79</v>
      </c>
      <c r="P564" s="29" t="n">
        <v>0.0101</v>
      </c>
      <c r="Q564" s="27" t="n">
        <v>715000</v>
      </c>
      <c r="R564" s="27" t="n">
        <v>191324</v>
      </c>
      <c r="S564" s="27" t="n">
        <v>120629</v>
      </c>
      <c r="T564" s="29" t="n">
        <v>0.643</v>
      </c>
      <c r="U564" s="29" t="n">
        <v>0.317</v>
      </c>
      <c r="V564" s="29" t="n">
        <v>0.895</v>
      </c>
      <c r="W564" s="28" t="n">
        <v>11.5</v>
      </c>
    </row>
    <row r="565" customFormat="false" ht="15" hidden="false" customHeight="false" outlineLevel="0" collapsed="false">
      <c r="A565" s="25" t="s">
        <v>797</v>
      </c>
      <c r="B565" s="25" t="s">
        <v>387</v>
      </c>
      <c r="C565" s="26" t="n">
        <v>45931</v>
      </c>
      <c r="D565" s="27" t="n">
        <v>37644</v>
      </c>
      <c r="E565" s="28" t="n">
        <v>650.6</v>
      </c>
      <c r="F565" s="29" t="n">
        <v>0.0535</v>
      </c>
      <c r="G565" s="29" t="n">
        <v>0.1676</v>
      </c>
      <c r="H565" s="30" t="n">
        <v>12.96</v>
      </c>
      <c r="I565" s="29" t="n">
        <v>0.0308</v>
      </c>
      <c r="J565" s="29" t="n">
        <v>0.0219</v>
      </c>
      <c r="K565" s="29" t="n">
        <v>0.034</v>
      </c>
      <c r="L565" s="27" t="n">
        <v>32</v>
      </c>
      <c r="M565" s="27" t="n">
        <v>22000</v>
      </c>
      <c r="N565" s="30" t="n">
        <v>37.31</v>
      </c>
      <c r="O565" s="30" t="n">
        <v>10.51</v>
      </c>
      <c r="P565" s="29" t="n">
        <v>0.0107</v>
      </c>
      <c r="Q565" s="27" t="n">
        <v>609000</v>
      </c>
      <c r="R565" s="27" t="n">
        <v>151175</v>
      </c>
      <c r="S565" s="27" t="n">
        <v>176596</v>
      </c>
      <c r="T565" s="29" t="n">
        <v>0.847</v>
      </c>
      <c r="U565" s="29" t="n">
        <v>0.279</v>
      </c>
      <c r="V565" s="29" t="n">
        <v>0.856</v>
      </c>
      <c r="W565" s="28" t="n">
        <v>12</v>
      </c>
    </row>
    <row r="566" customFormat="false" ht="15" hidden="false" customHeight="false" outlineLevel="0" collapsed="false">
      <c r="A566" s="25" t="s">
        <v>798</v>
      </c>
      <c r="B566" s="25" t="s">
        <v>387</v>
      </c>
      <c r="C566" s="26" t="n">
        <v>45962</v>
      </c>
      <c r="D566" s="27" t="n">
        <v>38498</v>
      </c>
      <c r="E566" s="28" t="n">
        <v>671.4</v>
      </c>
      <c r="F566" s="29" t="n">
        <v>0.0506</v>
      </c>
      <c r="G566" s="29" t="n">
        <v>0.1692</v>
      </c>
      <c r="H566" s="30" t="n">
        <v>12.35</v>
      </c>
      <c r="I566" s="29" t="n">
        <v>0.0343</v>
      </c>
      <c r="J566" s="29" t="n">
        <v>0.022</v>
      </c>
      <c r="K566" s="29" t="n">
        <v>0.037</v>
      </c>
      <c r="L566" s="27" t="n">
        <v>35</v>
      </c>
      <c r="M566" s="27" t="n">
        <v>22020</v>
      </c>
      <c r="N566" s="30" t="n">
        <v>36.92</v>
      </c>
      <c r="O566" s="30" t="n">
        <v>10.68</v>
      </c>
      <c r="P566" s="29" t="n">
        <v>0.0101</v>
      </c>
      <c r="Q566" s="27" t="n">
        <v>609000</v>
      </c>
      <c r="R566" s="27" t="n">
        <v>145432</v>
      </c>
      <c r="S566" s="27" t="n">
        <v>181599</v>
      </c>
      <c r="T566" s="29" t="n">
        <v>0.85</v>
      </c>
      <c r="U566" s="29" t="n">
        <v>0.298</v>
      </c>
      <c r="V566" s="29" t="n">
        <v>0.87</v>
      </c>
      <c r="W566" s="28" t="n">
        <v>11.5</v>
      </c>
    </row>
    <row r="567" customFormat="false" ht="15" hidden="false" customHeight="false" outlineLevel="0" collapsed="false">
      <c r="A567" s="25" t="s">
        <v>799</v>
      </c>
      <c r="B567" s="25" t="s">
        <v>387</v>
      </c>
      <c r="C567" s="26" t="n">
        <v>45992</v>
      </c>
      <c r="D567" s="27" t="n">
        <v>41782</v>
      </c>
      <c r="E567" s="28" t="n">
        <v>645.4</v>
      </c>
      <c r="F567" s="29" t="n">
        <v>0.0513</v>
      </c>
      <c r="G567" s="29" t="n">
        <v>0.1697</v>
      </c>
      <c r="H567" s="30" t="n">
        <v>12.31</v>
      </c>
      <c r="I567" s="29" t="n">
        <v>0.0311</v>
      </c>
      <c r="J567" s="29" t="n">
        <v>0.0216</v>
      </c>
      <c r="K567" s="29" t="n">
        <v>0.0387</v>
      </c>
      <c r="L567" s="27" t="n">
        <v>36</v>
      </c>
      <c r="M567" s="27" t="n">
        <v>22040</v>
      </c>
      <c r="N567" s="30" t="n">
        <v>38.17</v>
      </c>
      <c r="O567" s="30" t="n">
        <v>10.81</v>
      </c>
      <c r="P567" s="29" t="n">
        <v>0.0099</v>
      </c>
      <c r="Q567" s="27" t="n">
        <v>609000</v>
      </c>
      <c r="R567" s="27" t="n">
        <v>159592</v>
      </c>
      <c r="S567" s="27" t="n">
        <v>210662</v>
      </c>
      <c r="T567" s="29" t="n">
        <v>0.83</v>
      </c>
      <c r="U567" s="29" t="n">
        <v>0.303</v>
      </c>
      <c r="V567" s="29" t="n">
        <v>0.858</v>
      </c>
      <c r="W567" s="28" t="n">
        <v>12</v>
      </c>
    </row>
    <row r="568" customFormat="false" ht="15" hidden="false" customHeight="false" outlineLevel="0" collapsed="false">
      <c r="A568" s="25" t="s">
        <v>800</v>
      </c>
      <c r="B568" s="25" t="s">
        <v>387</v>
      </c>
      <c r="C568" s="26" t="n">
        <v>46023</v>
      </c>
      <c r="D568" s="27" t="n">
        <v>37307</v>
      </c>
      <c r="E568" s="28" t="n">
        <v>669.4</v>
      </c>
      <c r="F568" s="29" t="n">
        <v>0.0476</v>
      </c>
      <c r="G568" s="29" t="n">
        <v>0.1684</v>
      </c>
      <c r="H568" s="30" t="n">
        <v>11.7</v>
      </c>
      <c r="I568" s="29" t="n">
        <v>0.0286</v>
      </c>
      <c r="J568" s="29" t="n">
        <v>0.0225</v>
      </c>
      <c r="K568" s="29" t="n">
        <v>0.0376</v>
      </c>
      <c r="L568" s="27" t="n">
        <v>33</v>
      </c>
      <c r="M568" s="27" t="n">
        <v>22060</v>
      </c>
      <c r="N568" s="30" t="n">
        <v>37.15</v>
      </c>
      <c r="O568" s="30" t="n">
        <v>10.36</v>
      </c>
      <c r="P568" s="29" t="n">
        <v>0.01</v>
      </c>
      <c r="Q568" s="27" t="n">
        <v>609000</v>
      </c>
      <c r="R568" s="27" t="n">
        <v>153093</v>
      </c>
      <c r="S568" s="27" t="n">
        <v>185011</v>
      </c>
      <c r="T568" s="29" t="n">
        <v>0.821</v>
      </c>
      <c r="U568" s="29" t="n">
        <v>0.298</v>
      </c>
      <c r="V568" s="29" t="n">
        <v>0.882</v>
      </c>
      <c r="W568" s="28" t="n">
        <v>11.6</v>
      </c>
    </row>
    <row r="569" customFormat="false" ht="15" hidden="false" customHeight="false" outlineLevel="0" collapsed="false">
      <c r="A569" s="25" t="s">
        <v>801</v>
      </c>
      <c r="B569" s="25" t="s">
        <v>387</v>
      </c>
      <c r="C569" s="26" t="n">
        <v>46054</v>
      </c>
      <c r="D569" s="27" t="n">
        <v>35747</v>
      </c>
      <c r="E569" s="28" t="n">
        <v>667</v>
      </c>
      <c r="F569" s="29" t="n">
        <v>0.0536</v>
      </c>
      <c r="G569" s="29" t="n">
        <v>0.1713</v>
      </c>
      <c r="H569" s="30" t="n">
        <v>11.74</v>
      </c>
      <c r="I569" s="29" t="n">
        <v>0.0307</v>
      </c>
      <c r="J569" s="29" t="n">
        <v>0.0232</v>
      </c>
      <c r="K569" s="29" t="n">
        <v>0.0364</v>
      </c>
      <c r="L569" s="27" t="n">
        <v>34</v>
      </c>
      <c r="M569" s="27" t="n">
        <v>22080</v>
      </c>
      <c r="N569" s="30" t="n">
        <v>37.62</v>
      </c>
      <c r="O569" s="30" t="n">
        <v>10.71</v>
      </c>
      <c r="P569" s="29" t="n">
        <v>0.0096</v>
      </c>
      <c r="Q569" s="27" t="n">
        <v>609000</v>
      </c>
      <c r="R569" s="27" t="n">
        <v>151771</v>
      </c>
      <c r="S569" s="27" t="n">
        <v>167728</v>
      </c>
      <c r="T569" s="29" t="n">
        <v>0.836</v>
      </c>
      <c r="U569" s="29" t="n">
        <v>0.306</v>
      </c>
      <c r="V569" s="29" t="n">
        <v>0.883</v>
      </c>
      <c r="W569" s="28" t="n">
        <v>11.7</v>
      </c>
    </row>
    <row r="570" customFormat="false" ht="15" hidden="false" customHeight="false" outlineLevel="0" collapsed="false">
      <c r="A570" s="25" t="s">
        <v>802</v>
      </c>
      <c r="B570" s="25" t="s">
        <v>387</v>
      </c>
      <c r="C570" s="26" t="n">
        <v>46082</v>
      </c>
      <c r="D570" s="27" t="n">
        <v>39055</v>
      </c>
      <c r="E570" s="28" t="n">
        <v>663</v>
      </c>
      <c r="F570" s="29" t="n">
        <v>0.0494</v>
      </c>
      <c r="G570" s="29" t="n">
        <v>0.1734</v>
      </c>
      <c r="H570" s="30" t="n">
        <v>12.18</v>
      </c>
      <c r="I570" s="29" t="n">
        <v>0.0321</v>
      </c>
      <c r="J570" s="29" t="n">
        <v>0.0226</v>
      </c>
      <c r="K570" s="29" t="n">
        <v>0.0378</v>
      </c>
      <c r="L570" s="27" t="n">
        <v>34</v>
      </c>
      <c r="M570" s="27" t="n">
        <v>22100</v>
      </c>
      <c r="N570" s="30" t="n">
        <v>37.75</v>
      </c>
      <c r="O570" s="30" t="n">
        <v>10.44</v>
      </c>
      <c r="P570" s="29" t="n">
        <v>0.0102</v>
      </c>
      <c r="Q570" s="27" t="n">
        <v>609000</v>
      </c>
      <c r="R570" s="27" t="n">
        <v>147145</v>
      </c>
      <c r="S570" s="27" t="n">
        <v>169399</v>
      </c>
      <c r="T570" s="29" t="n">
        <v>0.834</v>
      </c>
      <c r="U570" s="29" t="n">
        <v>0.277</v>
      </c>
      <c r="V570" s="29" t="n">
        <v>0.873</v>
      </c>
      <c r="W570" s="28" t="n">
        <v>12.2</v>
      </c>
    </row>
    <row r="571" customFormat="false" ht="15" hidden="false" customHeight="false" outlineLevel="0" collapsed="false">
      <c r="A571" s="25" t="s">
        <v>803</v>
      </c>
      <c r="B571" s="25" t="s">
        <v>387</v>
      </c>
      <c r="C571" s="26" t="n">
        <v>46113</v>
      </c>
      <c r="D571" s="27" t="n">
        <v>40888</v>
      </c>
      <c r="E571" s="28" t="n">
        <v>655.7</v>
      </c>
      <c r="F571" s="29" t="n">
        <v>0.0486</v>
      </c>
      <c r="G571" s="29" t="n">
        <v>0.1696</v>
      </c>
      <c r="H571" s="30" t="n">
        <v>12.84</v>
      </c>
      <c r="I571" s="29" t="n">
        <v>0.0333</v>
      </c>
      <c r="J571" s="29" t="n">
        <v>0.0224</v>
      </c>
      <c r="K571" s="29" t="n">
        <v>0.0354</v>
      </c>
      <c r="L571" s="27" t="n">
        <v>36</v>
      </c>
      <c r="M571" s="27" t="n">
        <v>22120</v>
      </c>
      <c r="N571" s="30" t="n">
        <v>37.94</v>
      </c>
      <c r="O571" s="30" t="n">
        <v>10.7</v>
      </c>
      <c r="P571" s="29" t="n">
        <v>0.0107</v>
      </c>
      <c r="Q571" s="27" t="n">
        <v>609000</v>
      </c>
      <c r="R571" s="27" t="n">
        <v>152071</v>
      </c>
      <c r="S571" s="27" t="n">
        <v>172100</v>
      </c>
      <c r="T571" s="29" t="n">
        <v>0.826</v>
      </c>
      <c r="U571" s="29" t="n">
        <v>0.287</v>
      </c>
      <c r="V571" s="29" t="n">
        <v>0.891</v>
      </c>
      <c r="W571" s="28" t="n">
        <v>11.4</v>
      </c>
    </row>
    <row r="572" customFormat="false" ht="15" hidden="false" customHeight="false" outlineLevel="0" collapsed="false">
      <c r="A572" s="25" t="s">
        <v>804</v>
      </c>
      <c r="B572" s="25" t="s">
        <v>387</v>
      </c>
      <c r="C572" s="26" t="n">
        <v>46143</v>
      </c>
      <c r="D572" s="27" t="n">
        <v>41949</v>
      </c>
      <c r="E572" s="28" t="n">
        <v>681.5</v>
      </c>
      <c r="F572" s="29" t="n">
        <v>0.0535</v>
      </c>
      <c r="G572" s="29" t="n">
        <v>0.1654</v>
      </c>
      <c r="H572" s="30" t="n">
        <v>12.73</v>
      </c>
      <c r="I572" s="29" t="n">
        <v>0.0324</v>
      </c>
      <c r="J572" s="29" t="n">
        <v>0.0231</v>
      </c>
      <c r="K572" s="29" t="n">
        <v>0.0417</v>
      </c>
      <c r="L572" s="27" t="n">
        <v>36</v>
      </c>
      <c r="M572" s="27" t="n">
        <v>22140</v>
      </c>
      <c r="N572" s="30" t="n">
        <v>37.67</v>
      </c>
      <c r="O572" s="30" t="n">
        <v>10.51</v>
      </c>
      <c r="P572" s="29" t="n">
        <v>0.0104</v>
      </c>
      <c r="Q572" s="27" t="n">
        <v>609000</v>
      </c>
      <c r="R572" s="27" t="n">
        <v>154500</v>
      </c>
      <c r="S572" s="27" t="n">
        <v>198472</v>
      </c>
      <c r="T572" s="29" t="n">
        <v>0.818</v>
      </c>
      <c r="U572" s="29" t="n">
        <v>0.296</v>
      </c>
      <c r="V572" s="29" t="n">
        <v>0.849</v>
      </c>
      <c r="W572" s="28" t="n">
        <v>12.5</v>
      </c>
    </row>
    <row r="573" customFormat="false" ht="15" hidden="false" customHeight="false" outlineLevel="0" collapsed="false">
      <c r="A573" s="25" t="s">
        <v>805</v>
      </c>
      <c r="B573" s="25" t="s">
        <v>387</v>
      </c>
      <c r="C573" s="26" t="n">
        <v>46174</v>
      </c>
      <c r="D573" s="27" t="n">
        <v>40582</v>
      </c>
      <c r="E573" s="28" t="n">
        <v>672.8</v>
      </c>
      <c r="F573" s="29" t="n">
        <v>0.0532</v>
      </c>
      <c r="G573" s="29" t="n">
        <v>0.1685</v>
      </c>
      <c r="H573" s="30" t="n">
        <v>11.78</v>
      </c>
      <c r="I573" s="29" t="n">
        <v>0.0325</v>
      </c>
      <c r="J573" s="29" t="n">
        <v>0.0206</v>
      </c>
      <c r="K573" s="29" t="n">
        <v>0.0444</v>
      </c>
      <c r="L573" s="27" t="n">
        <v>35</v>
      </c>
      <c r="M573" s="27" t="n">
        <v>22160</v>
      </c>
      <c r="N573" s="30" t="n">
        <v>37.88</v>
      </c>
      <c r="O573" s="30" t="n">
        <v>10.41</v>
      </c>
      <c r="P573" s="29" t="n">
        <v>0.01</v>
      </c>
      <c r="Q573" s="27" t="n">
        <v>609000</v>
      </c>
      <c r="R573" s="27" t="n">
        <v>147653</v>
      </c>
      <c r="S573" s="27" t="n">
        <v>175528</v>
      </c>
      <c r="T573" s="29" t="n">
        <v>0.849</v>
      </c>
      <c r="U573" s="29" t="n">
        <v>0.287</v>
      </c>
      <c r="V573" s="29" t="n">
        <v>0.86</v>
      </c>
      <c r="W573" s="28" t="n">
        <v>12</v>
      </c>
    </row>
    <row r="574" customFormat="false" ht="15" hidden="false" customHeight="false" outlineLevel="0" collapsed="false">
      <c r="A574" s="25" t="s">
        <v>806</v>
      </c>
      <c r="B574" s="25" t="s">
        <v>387</v>
      </c>
      <c r="C574" s="26" t="n">
        <v>46204</v>
      </c>
      <c r="D574" s="27" t="n">
        <v>40100</v>
      </c>
      <c r="E574" s="28" t="n">
        <v>653.9</v>
      </c>
      <c r="F574" s="29" t="n">
        <v>0.0503</v>
      </c>
      <c r="G574" s="29" t="n">
        <v>0.169</v>
      </c>
      <c r="H574" s="30" t="n">
        <v>12.51</v>
      </c>
      <c r="I574" s="29" t="n">
        <v>0.0328</v>
      </c>
      <c r="J574" s="29" t="n">
        <v>0.0225</v>
      </c>
      <c r="K574" s="29" t="n">
        <v>0.0376</v>
      </c>
      <c r="L574" s="27" t="n">
        <v>35</v>
      </c>
      <c r="M574" s="27" t="n">
        <v>22180</v>
      </c>
      <c r="N574" s="30" t="n">
        <v>36.99</v>
      </c>
      <c r="O574" s="30" t="n">
        <v>10.8</v>
      </c>
      <c r="P574" s="29" t="n">
        <v>0.0101</v>
      </c>
      <c r="Q574" s="27" t="n">
        <v>609000</v>
      </c>
      <c r="R574" s="27" t="n">
        <v>141756</v>
      </c>
      <c r="S574" s="27" t="n">
        <v>170211</v>
      </c>
      <c r="T574" s="29" t="n">
        <v>0.82</v>
      </c>
      <c r="U574" s="29" t="n">
        <v>0.286</v>
      </c>
      <c r="V574" s="29" t="n">
        <v>0.895</v>
      </c>
      <c r="W574" s="28" t="n">
        <v>11.5</v>
      </c>
    </row>
    <row r="575" customFormat="false" ht="15" hidden="false" customHeight="false" outlineLevel="0" collapsed="false">
      <c r="A575" s="25" t="s">
        <v>807</v>
      </c>
      <c r="B575" s="25" t="s">
        <v>387</v>
      </c>
      <c r="C575" s="26" t="n">
        <v>46235</v>
      </c>
      <c r="D575" s="27" t="n">
        <v>38924</v>
      </c>
      <c r="E575" s="28" t="n">
        <v>662.7</v>
      </c>
      <c r="F575" s="29" t="n">
        <v>0.0516</v>
      </c>
      <c r="G575" s="29" t="n">
        <v>0.1697</v>
      </c>
      <c r="H575" s="30" t="n">
        <v>11.8</v>
      </c>
      <c r="I575" s="29" t="n">
        <v>0.0301</v>
      </c>
      <c r="J575" s="29" t="n">
        <v>0.0232</v>
      </c>
      <c r="K575" s="29" t="n">
        <v>0.0461</v>
      </c>
      <c r="L575" s="27" t="n">
        <v>33</v>
      </c>
      <c r="M575" s="27" t="n">
        <v>22200</v>
      </c>
      <c r="N575" s="30" t="n">
        <v>38.2</v>
      </c>
      <c r="O575" s="30" t="n">
        <v>10.46</v>
      </c>
      <c r="P575" s="29" t="n">
        <v>0.0098</v>
      </c>
      <c r="Q575" s="27" t="n">
        <v>609000</v>
      </c>
      <c r="R575" s="27" t="n">
        <v>161573</v>
      </c>
      <c r="S575" s="27" t="n">
        <v>178697</v>
      </c>
      <c r="T575" s="29" t="n">
        <v>0.838</v>
      </c>
      <c r="U575" s="29" t="n">
        <v>0.268</v>
      </c>
      <c r="V575" s="29" t="n">
        <v>0.847</v>
      </c>
      <c r="W575" s="28" t="n">
        <v>12.3</v>
      </c>
    </row>
    <row r="576" customFormat="false" ht="15" hidden="false" customHeight="false" outlineLevel="0" collapsed="false">
      <c r="A576" s="25" t="s">
        <v>808</v>
      </c>
      <c r="B576" s="25" t="s">
        <v>387</v>
      </c>
      <c r="C576" s="26" t="n">
        <v>46266</v>
      </c>
      <c r="D576" s="27" t="n">
        <v>40269</v>
      </c>
      <c r="E576" s="28" t="n">
        <v>660.6</v>
      </c>
      <c r="F576" s="29" t="n">
        <v>0.0514</v>
      </c>
      <c r="G576" s="29" t="n">
        <v>0.1656</v>
      </c>
      <c r="H576" s="30" t="n">
        <v>12.48</v>
      </c>
      <c r="I576" s="29" t="n">
        <v>0.0309</v>
      </c>
      <c r="J576" s="29" t="n">
        <v>0.0223</v>
      </c>
      <c r="K576" s="29" t="n">
        <v>0.0353</v>
      </c>
      <c r="L576" s="27" t="n">
        <v>35</v>
      </c>
      <c r="M576" s="27" t="n">
        <v>22220</v>
      </c>
      <c r="N576" s="30" t="n">
        <v>37.88</v>
      </c>
      <c r="O576" s="30" t="n">
        <v>10.56</v>
      </c>
      <c r="P576" s="29" t="n">
        <v>0.0103</v>
      </c>
      <c r="Q576" s="27" t="n">
        <v>609000</v>
      </c>
      <c r="R576" s="27" t="n">
        <v>148028</v>
      </c>
      <c r="S576" s="27" t="n">
        <v>168625</v>
      </c>
      <c r="T576" s="29" t="n">
        <v>0.814</v>
      </c>
      <c r="U576" s="29" t="n">
        <v>0.285</v>
      </c>
      <c r="V576" s="29" t="n">
        <v>0.872</v>
      </c>
      <c r="W576" s="28" t="n">
        <v>11.9</v>
      </c>
    </row>
    <row r="577" customFormat="false" ht="15" hidden="false" customHeight="false" outlineLevel="0" collapsed="false">
      <c r="A577" s="25" t="s">
        <v>809</v>
      </c>
      <c r="B577" s="25" t="s">
        <v>384</v>
      </c>
      <c r="C577" s="26" t="n">
        <v>45931</v>
      </c>
      <c r="D577" s="27" t="n">
        <v>36231</v>
      </c>
      <c r="E577" s="28" t="n">
        <v>710.6</v>
      </c>
      <c r="F577" s="29" t="n">
        <v>0.0677</v>
      </c>
      <c r="G577" s="29" t="n">
        <v>0.1641</v>
      </c>
      <c r="H577" s="30" t="n">
        <v>12.16</v>
      </c>
      <c r="I577" s="29" t="n">
        <v>0.0296</v>
      </c>
      <c r="J577" s="29" t="n">
        <v>0.0339</v>
      </c>
      <c r="K577" s="29" t="n">
        <v>0.0751</v>
      </c>
      <c r="L577" s="27" t="n">
        <v>28</v>
      </c>
      <c r="M577" s="27" t="n">
        <v>22000</v>
      </c>
      <c r="N577" s="30" t="n">
        <v>35.98</v>
      </c>
      <c r="O577" s="30" t="n">
        <v>10.73</v>
      </c>
      <c r="P577" s="29" t="n">
        <v>0.0102</v>
      </c>
      <c r="Q577" s="27" t="n">
        <v>870000</v>
      </c>
      <c r="R577" s="27" t="n">
        <v>188396</v>
      </c>
      <c r="S577" s="27" t="n">
        <v>228088</v>
      </c>
      <c r="T577" s="29" t="n">
        <v>0.808</v>
      </c>
      <c r="U577" s="29" t="n">
        <v>0.281</v>
      </c>
      <c r="V577" s="29" t="n">
        <v>0.812</v>
      </c>
      <c r="W577" s="28" t="n">
        <v>13.6</v>
      </c>
    </row>
    <row r="578" customFormat="false" ht="15" hidden="false" customHeight="false" outlineLevel="0" collapsed="false">
      <c r="A578" s="25" t="s">
        <v>810</v>
      </c>
      <c r="B578" s="25" t="s">
        <v>384</v>
      </c>
      <c r="C578" s="26" t="n">
        <v>45962</v>
      </c>
      <c r="D578" s="27" t="n">
        <v>40405</v>
      </c>
      <c r="E578" s="28" t="n">
        <v>707.3</v>
      </c>
      <c r="F578" s="29" t="n">
        <v>0.0708</v>
      </c>
      <c r="G578" s="29" t="n">
        <v>0.1657</v>
      </c>
      <c r="H578" s="30" t="n">
        <v>12.82</v>
      </c>
      <c r="I578" s="29" t="n">
        <v>0.0319</v>
      </c>
      <c r="J578" s="29" t="n">
        <v>0.0328</v>
      </c>
      <c r="K578" s="29" t="n">
        <v>0.079</v>
      </c>
      <c r="L578" s="27" t="n">
        <v>33</v>
      </c>
      <c r="M578" s="27" t="n">
        <v>22020</v>
      </c>
      <c r="N578" s="30" t="n">
        <v>36.92</v>
      </c>
      <c r="O578" s="30" t="n">
        <v>10.8</v>
      </c>
      <c r="P578" s="29" t="n">
        <v>0.0097</v>
      </c>
      <c r="Q578" s="27" t="n">
        <v>870000</v>
      </c>
      <c r="R578" s="27" t="n">
        <v>197186</v>
      </c>
      <c r="S578" s="27" t="n">
        <v>236049</v>
      </c>
      <c r="T578" s="29" t="n">
        <v>0.784</v>
      </c>
      <c r="U578" s="29" t="n">
        <v>0.308</v>
      </c>
      <c r="V578" s="29" t="n">
        <v>0.791</v>
      </c>
      <c r="W578" s="28" t="n">
        <v>13.8</v>
      </c>
    </row>
    <row r="579" customFormat="false" ht="15" hidden="false" customHeight="false" outlineLevel="0" collapsed="false">
      <c r="A579" s="25" t="s">
        <v>811</v>
      </c>
      <c r="B579" s="25" t="s">
        <v>384</v>
      </c>
      <c r="C579" s="26" t="n">
        <v>45992</v>
      </c>
      <c r="D579" s="27" t="n">
        <v>43047</v>
      </c>
      <c r="E579" s="28" t="n">
        <v>703</v>
      </c>
      <c r="F579" s="29" t="n">
        <v>0.0707</v>
      </c>
      <c r="G579" s="29" t="n">
        <v>0.1672</v>
      </c>
      <c r="H579" s="30" t="n">
        <v>12.42</v>
      </c>
      <c r="I579" s="29" t="n">
        <v>0.0318</v>
      </c>
      <c r="J579" s="29" t="n">
        <v>0.0346</v>
      </c>
      <c r="K579" s="29" t="n">
        <v>0.0601</v>
      </c>
      <c r="L579" s="27" t="n">
        <v>34</v>
      </c>
      <c r="M579" s="27" t="n">
        <v>22040</v>
      </c>
      <c r="N579" s="30" t="n">
        <v>36.31</v>
      </c>
      <c r="O579" s="30" t="n">
        <v>10.8</v>
      </c>
      <c r="P579" s="29" t="n">
        <v>0.0099</v>
      </c>
      <c r="Q579" s="27" t="n">
        <v>870000</v>
      </c>
      <c r="R579" s="27" t="n">
        <v>195743</v>
      </c>
      <c r="S579" s="27" t="n">
        <v>261421</v>
      </c>
      <c r="T579" s="29" t="n">
        <v>0.817</v>
      </c>
      <c r="U579" s="29" t="n">
        <v>0.296</v>
      </c>
      <c r="V579" s="29" t="n">
        <v>0.82</v>
      </c>
      <c r="W579" s="28" t="n">
        <v>13</v>
      </c>
    </row>
    <row r="580" customFormat="false" ht="15" hidden="false" customHeight="false" outlineLevel="0" collapsed="false">
      <c r="A580" s="25" t="s">
        <v>812</v>
      </c>
      <c r="B580" s="25" t="s">
        <v>384</v>
      </c>
      <c r="C580" s="26" t="n">
        <v>46023</v>
      </c>
      <c r="D580" s="27" t="n">
        <v>40395</v>
      </c>
      <c r="E580" s="28" t="n">
        <v>710</v>
      </c>
      <c r="F580" s="29" t="n">
        <v>0.067</v>
      </c>
      <c r="G580" s="29" t="n">
        <v>0.1626</v>
      </c>
      <c r="H580" s="30" t="n">
        <v>12.13</v>
      </c>
      <c r="I580" s="29" t="n">
        <v>0.0323</v>
      </c>
      <c r="J580" s="29" t="n">
        <v>0.0331</v>
      </c>
      <c r="K580" s="29" t="n">
        <v>0.066</v>
      </c>
      <c r="L580" s="27" t="n">
        <v>31</v>
      </c>
      <c r="M580" s="27" t="n">
        <v>22060</v>
      </c>
      <c r="N580" s="30" t="n">
        <v>37.01</v>
      </c>
      <c r="O580" s="30" t="n">
        <v>10.83</v>
      </c>
      <c r="P580" s="29" t="n">
        <v>0.0105</v>
      </c>
      <c r="Q580" s="27" t="n">
        <v>870000</v>
      </c>
      <c r="R580" s="27" t="n">
        <v>193472</v>
      </c>
      <c r="S580" s="27" t="n">
        <v>245720</v>
      </c>
      <c r="T580" s="29" t="n">
        <v>0.796</v>
      </c>
      <c r="U580" s="29" t="n">
        <v>0.304</v>
      </c>
      <c r="V580" s="29" t="n">
        <v>0.831</v>
      </c>
      <c r="W580" s="28" t="n">
        <v>12.5</v>
      </c>
    </row>
    <row r="581" customFormat="false" ht="15" hidden="false" customHeight="false" outlineLevel="0" collapsed="false">
      <c r="A581" s="25" t="s">
        <v>813</v>
      </c>
      <c r="B581" s="25" t="s">
        <v>384</v>
      </c>
      <c r="C581" s="26" t="n">
        <v>46054</v>
      </c>
      <c r="D581" s="27" t="n">
        <v>33681</v>
      </c>
      <c r="E581" s="28" t="n">
        <v>718.5</v>
      </c>
      <c r="F581" s="29" t="n">
        <v>0.0677</v>
      </c>
      <c r="G581" s="29" t="n">
        <v>0.167</v>
      </c>
      <c r="H581" s="30" t="n">
        <v>13.2</v>
      </c>
      <c r="I581" s="29" t="n">
        <v>0.0285</v>
      </c>
      <c r="J581" s="29" t="n">
        <v>0.033</v>
      </c>
      <c r="K581" s="29" t="n">
        <v>0.0652</v>
      </c>
      <c r="L581" s="27" t="n">
        <v>29</v>
      </c>
      <c r="M581" s="27" t="n">
        <v>22080</v>
      </c>
      <c r="N581" s="30" t="n">
        <v>36.79</v>
      </c>
      <c r="O581" s="30" t="n">
        <v>10.92</v>
      </c>
      <c r="P581" s="29" t="n">
        <v>0.0099</v>
      </c>
      <c r="Q581" s="27" t="n">
        <v>870000</v>
      </c>
      <c r="R581" s="27" t="n">
        <v>186763</v>
      </c>
      <c r="S581" s="27" t="n">
        <v>185798</v>
      </c>
      <c r="T581" s="29" t="n">
        <v>0.818</v>
      </c>
      <c r="U581" s="29" t="n">
        <v>0.294</v>
      </c>
      <c r="V581" s="29" t="n">
        <v>0.837</v>
      </c>
      <c r="W581" s="28" t="n">
        <v>12.5</v>
      </c>
    </row>
    <row r="582" customFormat="false" ht="15" hidden="false" customHeight="false" outlineLevel="0" collapsed="false">
      <c r="A582" s="25" t="s">
        <v>814</v>
      </c>
      <c r="B582" s="25" t="s">
        <v>384</v>
      </c>
      <c r="C582" s="26" t="n">
        <v>46082</v>
      </c>
      <c r="D582" s="27" t="n">
        <v>40380</v>
      </c>
      <c r="E582" s="28" t="n">
        <v>707</v>
      </c>
      <c r="F582" s="29" t="n">
        <v>0.0661</v>
      </c>
      <c r="G582" s="29" t="n">
        <v>0.1638</v>
      </c>
      <c r="H582" s="30" t="n">
        <v>12.17</v>
      </c>
      <c r="I582" s="29" t="n">
        <v>0.0331</v>
      </c>
      <c r="J582" s="29" t="n">
        <v>0.0341</v>
      </c>
      <c r="K582" s="29" t="n">
        <v>0.0684</v>
      </c>
      <c r="L582" s="27" t="n">
        <v>30</v>
      </c>
      <c r="M582" s="27" t="n">
        <v>22100</v>
      </c>
      <c r="N582" s="30" t="n">
        <v>36.58</v>
      </c>
      <c r="O582" s="30" t="n">
        <v>10.68</v>
      </c>
      <c r="P582" s="29" t="n">
        <v>0.0103</v>
      </c>
      <c r="Q582" s="27" t="n">
        <v>870000</v>
      </c>
      <c r="R582" s="27" t="n">
        <v>182284</v>
      </c>
      <c r="S582" s="27" t="n">
        <v>190664</v>
      </c>
      <c r="T582" s="29" t="n">
        <v>0.815</v>
      </c>
      <c r="U582" s="29" t="n">
        <v>0.289</v>
      </c>
      <c r="V582" s="29" t="n">
        <v>0.822</v>
      </c>
      <c r="W582" s="28" t="n">
        <v>13.3</v>
      </c>
    </row>
    <row r="583" customFormat="false" ht="15" hidden="false" customHeight="false" outlineLevel="0" collapsed="false">
      <c r="A583" s="25" t="s">
        <v>815</v>
      </c>
      <c r="B583" s="25" t="s">
        <v>384</v>
      </c>
      <c r="C583" s="26" t="n">
        <v>46113</v>
      </c>
      <c r="D583" s="27" t="n">
        <v>40851</v>
      </c>
      <c r="E583" s="28" t="n">
        <v>721.8</v>
      </c>
      <c r="F583" s="29" t="n">
        <v>0.065</v>
      </c>
      <c r="G583" s="29" t="n">
        <v>0.1662</v>
      </c>
      <c r="H583" s="30" t="n">
        <v>12.69</v>
      </c>
      <c r="I583" s="29" t="n">
        <v>0.0332</v>
      </c>
      <c r="J583" s="29" t="n">
        <v>0.0326</v>
      </c>
      <c r="K583" s="29" t="n">
        <v>0.072</v>
      </c>
      <c r="L583" s="27" t="n">
        <v>33</v>
      </c>
      <c r="M583" s="27" t="n">
        <v>22120</v>
      </c>
      <c r="N583" s="30" t="n">
        <v>37.26</v>
      </c>
      <c r="O583" s="30" t="n">
        <v>10.65</v>
      </c>
      <c r="P583" s="29" t="n">
        <v>0.0098</v>
      </c>
      <c r="Q583" s="27" t="n">
        <v>870000</v>
      </c>
      <c r="R583" s="27" t="n">
        <v>184564</v>
      </c>
      <c r="S583" s="27" t="n">
        <v>227392</v>
      </c>
      <c r="T583" s="29" t="n">
        <v>0.821</v>
      </c>
      <c r="U583" s="29" t="n">
        <v>0.281</v>
      </c>
      <c r="V583" s="29" t="n">
        <v>0.843</v>
      </c>
      <c r="W583" s="28" t="n">
        <v>12.8</v>
      </c>
    </row>
    <row r="584" customFormat="false" ht="15" hidden="false" customHeight="false" outlineLevel="0" collapsed="false">
      <c r="A584" s="25" t="s">
        <v>816</v>
      </c>
      <c r="B584" s="25" t="s">
        <v>384</v>
      </c>
      <c r="C584" s="26" t="n">
        <v>46143</v>
      </c>
      <c r="D584" s="27" t="n">
        <v>45426</v>
      </c>
      <c r="E584" s="28" t="n">
        <v>703.3</v>
      </c>
      <c r="F584" s="29" t="n">
        <v>0.0705</v>
      </c>
      <c r="G584" s="29" t="n">
        <v>0.1626</v>
      </c>
      <c r="H584" s="30" t="n">
        <v>13.02</v>
      </c>
      <c r="I584" s="29" t="n">
        <v>0.0322</v>
      </c>
      <c r="J584" s="29" t="n">
        <v>0.0346</v>
      </c>
      <c r="K584" s="29" t="n">
        <v>0.0694</v>
      </c>
      <c r="L584" s="27" t="n">
        <v>34</v>
      </c>
      <c r="M584" s="27" t="n">
        <v>22140</v>
      </c>
      <c r="N584" s="30" t="n">
        <v>37.55</v>
      </c>
      <c r="O584" s="30" t="n">
        <v>10.67</v>
      </c>
      <c r="P584" s="29" t="n">
        <v>0.0106</v>
      </c>
      <c r="Q584" s="27" t="n">
        <v>870000</v>
      </c>
      <c r="R584" s="27" t="n">
        <v>194399</v>
      </c>
      <c r="S584" s="27" t="n">
        <v>240992</v>
      </c>
      <c r="T584" s="29" t="n">
        <v>0.827</v>
      </c>
      <c r="U584" s="29" t="n">
        <v>0.287</v>
      </c>
      <c r="V584" s="29" t="n">
        <v>0.809</v>
      </c>
      <c r="W584" s="28" t="n">
        <v>13.7</v>
      </c>
    </row>
    <row r="585" customFormat="false" ht="15" hidden="false" customHeight="false" outlineLevel="0" collapsed="false">
      <c r="A585" s="25" t="s">
        <v>817</v>
      </c>
      <c r="B585" s="25" t="s">
        <v>384</v>
      </c>
      <c r="C585" s="26" t="n">
        <v>46174</v>
      </c>
      <c r="D585" s="27" t="n">
        <v>39459</v>
      </c>
      <c r="E585" s="28" t="n">
        <v>699.1</v>
      </c>
      <c r="F585" s="29" t="n">
        <v>0.0649</v>
      </c>
      <c r="G585" s="29" t="n">
        <v>0.1607</v>
      </c>
      <c r="H585" s="30" t="n">
        <v>12.69</v>
      </c>
      <c r="I585" s="29" t="n">
        <v>0.0302</v>
      </c>
      <c r="J585" s="29" t="n">
        <v>0.0336</v>
      </c>
      <c r="K585" s="29" t="n">
        <v>0.0625</v>
      </c>
      <c r="L585" s="27" t="n">
        <v>31</v>
      </c>
      <c r="M585" s="27" t="n">
        <v>22160</v>
      </c>
      <c r="N585" s="30" t="n">
        <v>36.69</v>
      </c>
      <c r="O585" s="30" t="n">
        <v>10.74</v>
      </c>
      <c r="P585" s="29" t="n">
        <v>0.0106</v>
      </c>
      <c r="Q585" s="27" t="n">
        <v>870000</v>
      </c>
      <c r="R585" s="27" t="n">
        <v>190000</v>
      </c>
      <c r="S585" s="27" t="n">
        <v>191557</v>
      </c>
      <c r="T585" s="29" t="n">
        <v>0.833</v>
      </c>
      <c r="U585" s="29" t="n">
        <v>0.285</v>
      </c>
      <c r="V585" s="29" t="n">
        <v>0.832</v>
      </c>
      <c r="W585" s="28" t="n">
        <v>12.8</v>
      </c>
    </row>
    <row r="586" customFormat="false" ht="15" hidden="false" customHeight="false" outlineLevel="0" collapsed="false">
      <c r="A586" s="25" t="s">
        <v>818</v>
      </c>
      <c r="B586" s="25" t="s">
        <v>384</v>
      </c>
      <c r="C586" s="26" t="n">
        <v>46204</v>
      </c>
      <c r="D586" s="27" t="n">
        <v>42711</v>
      </c>
      <c r="E586" s="28" t="n">
        <v>700.5</v>
      </c>
      <c r="F586" s="29" t="n">
        <v>0.0652</v>
      </c>
      <c r="G586" s="29" t="n">
        <v>0.1645</v>
      </c>
      <c r="H586" s="30" t="n">
        <v>12.57</v>
      </c>
      <c r="I586" s="29" t="n">
        <v>0.0335</v>
      </c>
      <c r="J586" s="29" t="n">
        <v>0.0339</v>
      </c>
      <c r="K586" s="29" t="n">
        <v>0.0749</v>
      </c>
      <c r="L586" s="27" t="n">
        <v>33</v>
      </c>
      <c r="M586" s="27" t="n">
        <v>22180</v>
      </c>
      <c r="N586" s="30" t="n">
        <v>37.09</v>
      </c>
      <c r="O586" s="30" t="n">
        <v>11.07</v>
      </c>
      <c r="P586" s="29" t="n">
        <v>0.0099</v>
      </c>
      <c r="Q586" s="27" t="n">
        <v>870000</v>
      </c>
      <c r="R586" s="27" t="n">
        <v>182499</v>
      </c>
      <c r="S586" s="27" t="n">
        <v>217927</v>
      </c>
      <c r="T586" s="29" t="n">
        <v>0.835</v>
      </c>
      <c r="U586" s="29" t="n">
        <v>0.284</v>
      </c>
      <c r="V586" s="29" t="n">
        <v>0.809</v>
      </c>
      <c r="W586" s="28" t="n">
        <v>13</v>
      </c>
    </row>
    <row r="587" customFormat="false" ht="15" hidden="false" customHeight="false" outlineLevel="0" collapsed="false">
      <c r="A587" s="25" t="s">
        <v>819</v>
      </c>
      <c r="B587" s="25" t="s">
        <v>384</v>
      </c>
      <c r="C587" s="26" t="n">
        <v>46235</v>
      </c>
      <c r="D587" s="27" t="n">
        <v>44267</v>
      </c>
      <c r="E587" s="28" t="n">
        <v>710.7</v>
      </c>
      <c r="F587" s="29" t="n">
        <v>0.0647</v>
      </c>
      <c r="G587" s="29" t="n">
        <v>0.1652</v>
      </c>
      <c r="H587" s="30" t="n">
        <v>12.18</v>
      </c>
      <c r="I587" s="29" t="n">
        <v>0.0318</v>
      </c>
      <c r="J587" s="29" t="n">
        <v>0.0353</v>
      </c>
      <c r="K587" s="29" t="n">
        <v>0.0653</v>
      </c>
      <c r="L587" s="27" t="n">
        <v>34</v>
      </c>
      <c r="M587" s="27" t="n">
        <v>22200</v>
      </c>
      <c r="N587" s="30" t="n">
        <v>36.75</v>
      </c>
      <c r="O587" s="30" t="n">
        <v>10.48</v>
      </c>
      <c r="P587" s="29" t="n">
        <v>0.0098</v>
      </c>
      <c r="Q587" s="27" t="n">
        <v>870000</v>
      </c>
      <c r="R587" s="27" t="n">
        <v>196053</v>
      </c>
      <c r="S587" s="27" t="n">
        <v>244848</v>
      </c>
      <c r="T587" s="29" t="n">
        <v>0.821</v>
      </c>
      <c r="U587" s="29" t="n">
        <v>0.288</v>
      </c>
      <c r="V587" s="29" t="n">
        <v>0.829</v>
      </c>
      <c r="W587" s="28" t="n">
        <v>12.6</v>
      </c>
    </row>
    <row r="588" customFormat="false" ht="15" hidden="false" customHeight="false" outlineLevel="0" collapsed="false">
      <c r="A588" s="25" t="s">
        <v>820</v>
      </c>
      <c r="B588" s="25" t="s">
        <v>384</v>
      </c>
      <c r="C588" s="26" t="n">
        <v>46266</v>
      </c>
      <c r="D588" s="27" t="n">
        <v>43852</v>
      </c>
      <c r="E588" s="28" t="n">
        <v>703.1</v>
      </c>
      <c r="F588" s="29" t="n">
        <v>0.0723</v>
      </c>
      <c r="G588" s="29" t="n">
        <v>0.1645</v>
      </c>
      <c r="H588" s="30" t="n">
        <v>12.88</v>
      </c>
      <c r="I588" s="29" t="n">
        <v>0.0346</v>
      </c>
      <c r="J588" s="29" t="n">
        <v>0.034</v>
      </c>
      <c r="K588" s="29" t="n">
        <v>0.074</v>
      </c>
      <c r="L588" s="27" t="n">
        <v>35</v>
      </c>
      <c r="M588" s="27" t="n">
        <v>22220</v>
      </c>
      <c r="N588" s="30" t="n">
        <v>36.57</v>
      </c>
      <c r="O588" s="30" t="n">
        <v>10.56</v>
      </c>
      <c r="P588" s="29" t="n">
        <v>0.01</v>
      </c>
      <c r="Q588" s="27" t="n">
        <v>870000</v>
      </c>
      <c r="R588" s="27" t="n">
        <v>199002</v>
      </c>
      <c r="S588" s="27" t="n">
        <v>203753</v>
      </c>
      <c r="T588" s="29" t="n">
        <v>0.804</v>
      </c>
      <c r="U588" s="29" t="n">
        <v>0.278</v>
      </c>
      <c r="V588" s="29" t="n">
        <v>0.819</v>
      </c>
      <c r="W588" s="28" t="n">
        <v>12.8</v>
      </c>
    </row>
    <row r="589" customFormat="false" ht="15" hidden="false" customHeight="false" outlineLevel="0" collapsed="false">
      <c r="A589" s="25" t="s">
        <v>821</v>
      </c>
      <c r="B589" s="25" t="s">
        <v>389</v>
      </c>
      <c r="C589" s="26" t="n">
        <v>45931</v>
      </c>
      <c r="D589" s="27" t="n">
        <v>27556</v>
      </c>
      <c r="E589" s="28" t="n">
        <v>733.2</v>
      </c>
      <c r="F589" s="29" t="n">
        <v>0.055</v>
      </c>
      <c r="G589" s="29" t="n">
        <v>0.1649</v>
      </c>
      <c r="H589" s="30" t="n">
        <v>11.56</v>
      </c>
      <c r="I589" s="29" t="n">
        <v>0.0283</v>
      </c>
      <c r="J589" s="29" t="n">
        <v>0.0234</v>
      </c>
      <c r="K589" s="29" t="n">
        <v>0.0503</v>
      </c>
      <c r="L589" s="27" t="n">
        <v>19</v>
      </c>
      <c r="M589" s="27" t="n">
        <v>22000</v>
      </c>
      <c r="N589" s="30" t="n">
        <v>44.69</v>
      </c>
      <c r="O589" s="30" t="n">
        <v>10.79</v>
      </c>
      <c r="P589" s="29" t="n">
        <v>0.0103</v>
      </c>
      <c r="Q589" s="27" t="n">
        <v>459000</v>
      </c>
      <c r="R589" s="27" t="n">
        <v>179833</v>
      </c>
      <c r="S589" s="27" t="n">
        <v>158020</v>
      </c>
      <c r="T589" s="29" t="n">
        <v>0.792</v>
      </c>
      <c r="U589" s="29" t="n">
        <v>0.201</v>
      </c>
      <c r="V589" s="29" t="n">
        <v>0.858</v>
      </c>
      <c r="W589" s="28" t="n">
        <v>12.3</v>
      </c>
    </row>
    <row r="590" customFormat="false" ht="15" hidden="false" customHeight="false" outlineLevel="0" collapsed="false">
      <c r="A590" s="25" t="s">
        <v>822</v>
      </c>
      <c r="B590" s="25" t="s">
        <v>389</v>
      </c>
      <c r="C590" s="26" t="n">
        <v>45962</v>
      </c>
      <c r="D590" s="27" t="n">
        <v>29828</v>
      </c>
      <c r="E590" s="28" t="n">
        <v>700.8</v>
      </c>
      <c r="F590" s="29" t="n">
        <v>0.0525</v>
      </c>
      <c r="G590" s="29" t="n">
        <v>0.169</v>
      </c>
      <c r="H590" s="30" t="n">
        <v>11.62</v>
      </c>
      <c r="I590" s="29" t="n">
        <v>0.0296</v>
      </c>
      <c r="J590" s="29" t="n">
        <v>0.0236</v>
      </c>
      <c r="K590" s="29" t="n">
        <v>0.0421</v>
      </c>
      <c r="L590" s="27" t="n">
        <v>21</v>
      </c>
      <c r="M590" s="27" t="n">
        <v>22020</v>
      </c>
      <c r="N590" s="30" t="n">
        <v>43.19</v>
      </c>
      <c r="O590" s="30" t="n">
        <v>10.7</v>
      </c>
      <c r="P590" s="29" t="n">
        <v>0.0102</v>
      </c>
      <c r="Q590" s="27" t="n">
        <v>459000</v>
      </c>
      <c r="R590" s="27" t="n">
        <v>184718</v>
      </c>
      <c r="S590" s="27" t="n">
        <v>148572</v>
      </c>
      <c r="T590" s="29" t="n">
        <v>0.836</v>
      </c>
      <c r="U590" s="29" t="n">
        <v>0.211</v>
      </c>
      <c r="V590" s="29" t="n">
        <v>0.853</v>
      </c>
      <c r="W590" s="28" t="n">
        <v>12.6</v>
      </c>
    </row>
    <row r="591" customFormat="false" ht="15" hidden="false" customHeight="false" outlineLevel="0" collapsed="false">
      <c r="A591" s="25" t="s">
        <v>823</v>
      </c>
      <c r="B591" s="25" t="s">
        <v>389</v>
      </c>
      <c r="C591" s="26" t="n">
        <v>45992</v>
      </c>
      <c r="D591" s="27" t="n">
        <v>29646</v>
      </c>
      <c r="E591" s="28" t="n">
        <v>723</v>
      </c>
      <c r="F591" s="29" t="n">
        <v>0.0523</v>
      </c>
      <c r="G591" s="29" t="n">
        <v>0.1699</v>
      </c>
      <c r="H591" s="30" t="n">
        <v>11.3</v>
      </c>
      <c r="I591" s="29" t="n">
        <v>0.029</v>
      </c>
      <c r="J591" s="29" t="n">
        <v>0.0238</v>
      </c>
      <c r="K591" s="29" t="n">
        <v>0.0457</v>
      </c>
      <c r="L591" s="27" t="n">
        <v>21</v>
      </c>
      <c r="M591" s="27" t="n">
        <v>22040</v>
      </c>
      <c r="N591" s="30" t="n">
        <v>43.61</v>
      </c>
      <c r="O591" s="30" t="n">
        <v>10.42</v>
      </c>
      <c r="P591" s="29" t="n">
        <v>0.01</v>
      </c>
      <c r="Q591" s="27" t="n">
        <v>459000</v>
      </c>
      <c r="R591" s="27" t="n">
        <v>183630</v>
      </c>
      <c r="S591" s="27" t="n">
        <v>146700</v>
      </c>
      <c r="T591" s="29" t="n">
        <v>0.836</v>
      </c>
      <c r="U591" s="29" t="n">
        <v>0.203</v>
      </c>
      <c r="V591" s="29" t="n">
        <v>0.851</v>
      </c>
      <c r="W591" s="28" t="n">
        <v>12.4</v>
      </c>
    </row>
    <row r="592" customFormat="false" ht="15" hidden="false" customHeight="false" outlineLevel="0" collapsed="false">
      <c r="A592" s="25" t="s">
        <v>824</v>
      </c>
      <c r="B592" s="25" t="s">
        <v>389</v>
      </c>
      <c r="C592" s="26" t="n">
        <v>46023</v>
      </c>
      <c r="D592" s="27" t="n">
        <v>25764</v>
      </c>
      <c r="E592" s="28" t="n">
        <v>729.7</v>
      </c>
      <c r="F592" s="29" t="n">
        <v>0.051</v>
      </c>
      <c r="G592" s="29" t="n">
        <v>0.1669</v>
      </c>
      <c r="H592" s="30" t="n">
        <v>11.34</v>
      </c>
      <c r="I592" s="29" t="n">
        <v>0.0248</v>
      </c>
      <c r="J592" s="29" t="n">
        <v>0.0241</v>
      </c>
      <c r="K592" s="29" t="n">
        <v>0.0449</v>
      </c>
      <c r="L592" s="27" t="n">
        <v>17</v>
      </c>
      <c r="M592" s="27" t="n">
        <v>22060</v>
      </c>
      <c r="N592" s="30" t="n">
        <v>45.27</v>
      </c>
      <c r="O592" s="30" t="n">
        <v>10.54</v>
      </c>
      <c r="P592" s="29" t="n">
        <v>0.0095</v>
      </c>
      <c r="Q592" s="27" t="n">
        <v>459000</v>
      </c>
      <c r="R592" s="27" t="n">
        <v>174607</v>
      </c>
      <c r="S592" s="27" t="n">
        <v>124922</v>
      </c>
      <c r="T592" s="29" t="n">
        <v>0.85</v>
      </c>
      <c r="U592" s="29" t="n">
        <v>0.202</v>
      </c>
      <c r="V592" s="29" t="n">
        <v>0.878</v>
      </c>
      <c r="W592" s="28" t="n">
        <v>11.7</v>
      </c>
    </row>
    <row r="593" customFormat="false" ht="15" hidden="false" customHeight="false" outlineLevel="0" collapsed="false">
      <c r="A593" s="25" t="s">
        <v>825</v>
      </c>
      <c r="B593" s="25" t="s">
        <v>389</v>
      </c>
      <c r="C593" s="26" t="n">
        <v>46054</v>
      </c>
      <c r="D593" s="27" t="n">
        <v>23227</v>
      </c>
      <c r="E593" s="28" t="n">
        <v>743.3</v>
      </c>
      <c r="F593" s="29" t="n">
        <v>0.0515</v>
      </c>
      <c r="G593" s="29" t="n">
        <v>0.1647</v>
      </c>
      <c r="H593" s="30" t="n">
        <v>10.88</v>
      </c>
      <c r="I593" s="29" t="n">
        <v>0.0283</v>
      </c>
      <c r="J593" s="29" t="n">
        <v>0.0249</v>
      </c>
      <c r="K593" s="29" t="n">
        <v>0.0418</v>
      </c>
      <c r="L593" s="27" t="n">
        <v>17</v>
      </c>
      <c r="M593" s="27" t="n">
        <v>22080</v>
      </c>
      <c r="N593" s="30" t="n">
        <v>45.05</v>
      </c>
      <c r="O593" s="30" t="n">
        <v>11.12</v>
      </c>
      <c r="P593" s="29" t="n">
        <v>0.0098</v>
      </c>
      <c r="Q593" s="27" t="n">
        <v>459000</v>
      </c>
      <c r="R593" s="27" t="n">
        <v>175648</v>
      </c>
      <c r="S593" s="27" t="n">
        <v>127298</v>
      </c>
      <c r="T593" s="29" t="n">
        <v>0.807</v>
      </c>
      <c r="U593" s="29" t="n">
        <v>0.2</v>
      </c>
      <c r="V593" s="29" t="n">
        <v>0.869</v>
      </c>
      <c r="W593" s="28" t="n">
        <v>12</v>
      </c>
    </row>
    <row r="594" customFormat="false" ht="15" hidden="false" customHeight="false" outlineLevel="0" collapsed="false">
      <c r="A594" s="25" t="s">
        <v>826</v>
      </c>
      <c r="B594" s="25" t="s">
        <v>389</v>
      </c>
      <c r="C594" s="26" t="n">
        <v>46082</v>
      </c>
      <c r="D594" s="27" t="n">
        <v>28473</v>
      </c>
      <c r="E594" s="28" t="n">
        <v>724.8</v>
      </c>
      <c r="F594" s="29" t="n">
        <v>0.0493</v>
      </c>
      <c r="G594" s="29" t="n">
        <v>0.1675</v>
      </c>
      <c r="H594" s="30" t="n">
        <v>12.2</v>
      </c>
      <c r="I594" s="29" t="n">
        <v>0.0247</v>
      </c>
      <c r="J594" s="29" t="n">
        <v>0.0229</v>
      </c>
      <c r="K594" s="29" t="n">
        <v>0.0405</v>
      </c>
      <c r="L594" s="27" t="n">
        <v>20</v>
      </c>
      <c r="M594" s="27" t="n">
        <v>22100</v>
      </c>
      <c r="N594" s="30" t="n">
        <v>43.59</v>
      </c>
      <c r="O594" s="30" t="n">
        <v>10.47</v>
      </c>
      <c r="P594" s="29" t="n">
        <v>0.0102</v>
      </c>
      <c r="Q594" s="27" t="n">
        <v>459000</v>
      </c>
      <c r="R594" s="27" t="n">
        <v>179914</v>
      </c>
      <c r="S594" s="27" t="n">
        <v>145965</v>
      </c>
      <c r="T594" s="29" t="n">
        <v>0.842</v>
      </c>
      <c r="U594" s="29" t="n">
        <v>0.213</v>
      </c>
      <c r="V594" s="29" t="n">
        <v>0.875</v>
      </c>
      <c r="W594" s="28" t="n">
        <v>11.8</v>
      </c>
    </row>
    <row r="595" customFormat="false" ht="15" hidden="false" customHeight="false" outlineLevel="0" collapsed="false">
      <c r="A595" s="25" t="s">
        <v>827</v>
      </c>
      <c r="B595" s="25" t="s">
        <v>389</v>
      </c>
      <c r="C595" s="26" t="n">
        <v>46113</v>
      </c>
      <c r="D595" s="27" t="n">
        <v>28066</v>
      </c>
      <c r="E595" s="28" t="n">
        <v>723.7</v>
      </c>
      <c r="F595" s="29" t="n">
        <v>0.0489</v>
      </c>
      <c r="G595" s="29" t="n">
        <v>0.1662</v>
      </c>
      <c r="H595" s="30" t="n">
        <v>12.44</v>
      </c>
      <c r="I595" s="29" t="n">
        <v>0.0276</v>
      </c>
      <c r="J595" s="29" t="n">
        <v>0.023</v>
      </c>
      <c r="K595" s="29" t="n">
        <v>0.046</v>
      </c>
      <c r="L595" s="27" t="n">
        <v>20</v>
      </c>
      <c r="M595" s="27" t="n">
        <v>22120</v>
      </c>
      <c r="N595" s="30" t="n">
        <v>44.02</v>
      </c>
      <c r="O595" s="30" t="n">
        <v>10.6</v>
      </c>
      <c r="P595" s="29" t="n">
        <v>0.0102</v>
      </c>
      <c r="Q595" s="27" t="n">
        <v>459000</v>
      </c>
      <c r="R595" s="27" t="n">
        <v>176974</v>
      </c>
      <c r="S595" s="27" t="n">
        <v>155320</v>
      </c>
      <c r="T595" s="29" t="n">
        <v>0.826</v>
      </c>
      <c r="U595" s="29" t="n">
        <v>0.22</v>
      </c>
      <c r="V595" s="29" t="n">
        <v>0.874</v>
      </c>
      <c r="W595" s="28" t="n">
        <v>11.3</v>
      </c>
    </row>
    <row r="596" customFormat="false" ht="15" hidden="false" customHeight="false" outlineLevel="0" collapsed="false">
      <c r="A596" s="25" t="s">
        <v>828</v>
      </c>
      <c r="B596" s="25" t="s">
        <v>389</v>
      </c>
      <c r="C596" s="26" t="n">
        <v>46143</v>
      </c>
      <c r="D596" s="27" t="n">
        <v>29850</v>
      </c>
      <c r="E596" s="28" t="n">
        <v>739.1</v>
      </c>
      <c r="F596" s="29" t="n">
        <v>0.0513</v>
      </c>
      <c r="G596" s="29" t="n">
        <v>0.1706</v>
      </c>
      <c r="H596" s="30" t="n">
        <v>11.65</v>
      </c>
      <c r="I596" s="29" t="n">
        <v>0.0282</v>
      </c>
      <c r="J596" s="29" t="n">
        <v>0.0245</v>
      </c>
      <c r="K596" s="29" t="n">
        <v>0.0497</v>
      </c>
      <c r="L596" s="27" t="n">
        <v>21</v>
      </c>
      <c r="M596" s="27" t="n">
        <v>22140</v>
      </c>
      <c r="N596" s="30" t="n">
        <v>43.7</v>
      </c>
      <c r="O596" s="30" t="n">
        <v>10.71</v>
      </c>
      <c r="P596" s="29" t="n">
        <v>0.0103</v>
      </c>
      <c r="Q596" s="27" t="n">
        <v>459000</v>
      </c>
      <c r="R596" s="27" t="n">
        <v>186026</v>
      </c>
      <c r="S596" s="27" t="n">
        <v>148405</v>
      </c>
      <c r="T596" s="29" t="n">
        <v>0.802</v>
      </c>
      <c r="U596" s="29" t="n">
        <v>0.208</v>
      </c>
      <c r="V596" s="29" t="n">
        <v>0.842</v>
      </c>
      <c r="W596" s="28" t="n">
        <v>12.5</v>
      </c>
    </row>
    <row r="597" customFormat="false" ht="15" hidden="false" customHeight="false" outlineLevel="0" collapsed="false">
      <c r="A597" s="25" t="s">
        <v>829</v>
      </c>
      <c r="B597" s="25" t="s">
        <v>389</v>
      </c>
      <c r="C597" s="26" t="n">
        <v>46174</v>
      </c>
      <c r="D597" s="27" t="n">
        <v>28859</v>
      </c>
      <c r="E597" s="28" t="n">
        <v>756.4</v>
      </c>
      <c r="F597" s="29" t="n">
        <v>0.0547</v>
      </c>
      <c r="G597" s="29" t="n">
        <v>0.1662</v>
      </c>
      <c r="H597" s="30" t="n">
        <v>11.08</v>
      </c>
      <c r="I597" s="29" t="n">
        <v>0.0276</v>
      </c>
      <c r="J597" s="29" t="n">
        <v>0.0235</v>
      </c>
      <c r="K597" s="29" t="n">
        <v>0.0346</v>
      </c>
      <c r="L597" s="27" t="n">
        <v>21</v>
      </c>
      <c r="M597" s="27" t="n">
        <v>22160</v>
      </c>
      <c r="N597" s="30" t="n">
        <v>43.67</v>
      </c>
      <c r="O597" s="30" t="n">
        <v>10.53</v>
      </c>
      <c r="P597" s="29" t="n">
        <v>0.0102</v>
      </c>
      <c r="Q597" s="27" t="n">
        <v>459000</v>
      </c>
      <c r="R597" s="27" t="n">
        <v>172359</v>
      </c>
      <c r="S597" s="27" t="n">
        <v>143158</v>
      </c>
      <c r="T597" s="29" t="n">
        <v>0.843</v>
      </c>
      <c r="U597" s="29" t="n">
        <v>0.198</v>
      </c>
      <c r="V597" s="29" t="n">
        <v>0.869</v>
      </c>
      <c r="W597" s="28" t="n">
        <v>11.8</v>
      </c>
    </row>
    <row r="598" customFormat="false" ht="15" hidden="false" customHeight="false" outlineLevel="0" collapsed="false">
      <c r="A598" s="25" t="s">
        <v>830</v>
      </c>
      <c r="B598" s="25" t="s">
        <v>389</v>
      </c>
      <c r="C598" s="26" t="n">
        <v>46204</v>
      </c>
      <c r="D598" s="27" t="n">
        <v>25564</v>
      </c>
      <c r="E598" s="28" t="n">
        <v>732.7</v>
      </c>
      <c r="F598" s="29" t="n">
        <v>0.0541</v>
      </c>
      <c r="G598" s="29" t="n">
        <v>0.1678</v>
      </c>
      <c r="H598" s="30" t="n">
        <v>11.57</v>
      </c>
      <c r="I598" s="29" t="n">
        <v>0.0262</v>
      </c>
      <c r="J598" s="29" t="n">
        <v>0.025</v>
      </c>
      <c r="K598" s="29" t="n">
        <v>0.045</v>
      </c>
      <c r="L598" s="27" t="n">
        <v>17</v>
      </c>
      <c r="M598" s="27" t="n">
        <v>22180</v>
      </c>
      <c r="N598" s="30" t="n">
        <v>45.82</v>
      </c>
      <c r="O598" s="30" t="n">
        <v>10.59</v>
      </c>
      <c r="P598" s="29" t="n">
        <v>0.0101</v>
      </c>
      <c r="Q598" s="27" t="n">
        <v>459000</v>
      </c>
      <c r="R598" s="27" t="n">
        <v>163022</v>
      </c>
      <c r="S598" s="27" t="n">
        <v>120615</v>
      </c>
      <c r="T598" s="29" t="n">
        <v>0.813</v>
      </c>
      <c r="U598" s="29" t="n">
        <v>0.206</v>
      </c>
      <c r="V598" s="29" t="n">
        <v>0.855</v>
      </c>
      <c r="W598" s="28" t="n">
        <v>12.5</v>
      </c>
    </row>
    <row r="599" customFormat="false" ht="15" hidden="false" customHeight="false" outlineLevel="0" collapsed="false">
      <c r="A599" s="25" t="s">
        <v>831</v>
      </c>
      <c r="B599" s="25" t="s">
        <v>389</v>
      </c>
      <c r="C599" s="26" t="n">
        <v>46235</v>
      </c>
      <c r="D599" s="27" t="n">
        <v>29833</v>
      </c>
      <c r="E599" s="28" t="n">
        <v>740.5</v>
      </c>
      <c r="F599" s="29" t="n">
        <v>0.0528</v>
      </c>
      <c r="G599" s="29" t="n">
        <v>0.1678</v>
      </c>
      <c r="H599" s="30" t="n">
        <v>12.12</v>
      </c>
      <c r="I599" s="29" t="n">
        <v>0.029</v>
      </c>
      <c r="J599" s="29" t="n">
        <v>0.0238</v>
      </c>
      <c r="K599" s="29" t="n">
        <v>0.0403</v>
      </c>
      <c r="L599" s="27" t="n">
        <v>19</v>
      </c>
      <c r="M599" s="27" t="n">
        <v>22200</v>
      </c>
      <c r="N599" s="30" t="n">
        <v>44.67</v>
      </c>
      <c r="O599" s="30" t="n">
        <v>10.62</v>
      </c>
      <c r="P599" s="29" t="n">
        <v>0.0102</v>
      </c>
      <c r="Q599" s="27" t="n">
        <v>459000</v>
      </c>
      <c r="R599" s="27" t="n">
        <v>170829</v>
      </c>
      <c r="S599" s="27" t="n">
        <v>167731</v>
      </c>
      <c r="T599" s="29" t="n">
        <v>0.811</v>
      </c>
      <c r="U599" s="29" t="n">
        <v>0.193</v>
      </c>
      <c r="V599" s="29" t="n">
        <v>0.852</v>
      </c>
      <c r="W599" s="28" t="n">
        <v>12.2</v>
      </c>
    </row>
    <row r="600" customFormat="false" ht="15" hidden="false" customHeight="false" outlineLevel="0" collapsed="false">
      <c r="A600" s="25" t="s">
        <v>832</v>
      </c>
      <c r="B600" s="25" t="s">
        <v>389</v>
      </c>
      <c r="C600" s="26" t="n">
        <v>46266</v>
      </c>
      <c r="D600" s="27" t="n">
        <v>29536</v>
      </c>
      <c r="E600" s="28" t="n">
        <v>738.4</v>
      </c>
      <c r="F600" s="29" t="n">
        <v>0.0522</v>
      </c>
      <c r="G600" s="29" t="n">
        <v>0.1648</v>
      </c>
      <c r="H600" s="30" t="n">
        <v>11.49</v>
      </c>
      <c r="I600" s="29" t="n">
        <v>0.0289</v>
      </c>
      <c r="J600" s="29" t="n">
        <v>0.0229</v>
      </c>
      <c r="K600" s="29" t="n">
        <v>0.0473</v>
      </c>
      <c r="L600" s="27" t="n">
        <v>20</v>
      </c>
      <c r="M600" s="27" t="n">
        <v>22220</v>
      </c>
      <c r="N600" s="30" t="n">
        <v>43.42</v>
      </c>
      <c r="O600" s="30" t="n">
        <v>10.9</v>
      </c>
      <c r="P600" s="29" t="n">
        <v>0.0097</v>
      </c>
      <c r="Q600" s="27" t="n">
        <v>459000</v>
      </c>
      <c r="R600" s="27" t="n">
        <v>174009</v>
      </c>
      <c r="S600" s="27" t="n">
        <v>173942</v>
      </c>
      <c r="T600" s="29" t="n">
        <v>0.842</v>
      </c>
      <c r="U600" s="29" t="n">
        <v>0.206</v>
      </c>
      <c r="V600" s="29" t="n">
        <v>0.852</v>
      </c>
      <c r="W600" s="28" t="n">
        <v>12</v>
      </c>
    </row>
    <row r="601" customFormat="false" ht="15" hidden="false" customHeight="false" outlineLevel="0" collapsed="false">
      <c r="A601" s="25" t="s">
        <v>833</v>
      </c>
      <c r="B601" s="25" t="s">
        <v>388</v>
      </c>
      <c r="C601" s="26" t="n">
        <v>45931</v>
      </c>
      <c r="D601" s="27" t="n">
        <v>32381</v>
      </c>
      <c r="E601" s="28" t="n">
        <v>630.4</v>
      </c>
      <c r="F601" s="29" t="n">
        <v>0.0482</v>
      </c>
      <c r="G601" s="29" t="n">
        <v>0.1681</v>
      </c>
      <c r="H601" s="30" t="n">
        <v>12.53</v>
      </c>
      <c r="I601" s="29" t="n">
        <v>0.0277</v>
      </c>
      <c r="J601" s="29" t="n">
        <v>0.0161</v>
      </c>
      <c r="K601" s="29" t="n">
        <v>0.0311</v>
      </c>
      <c r="L601" s="27" t="n">
        <v>24</v>
      </c>
      <c r="M601" s="27" t="n">
        <v>22000</v>
      </c>
      <c r="N601" s="30" t="n">
        <v>38.72</v>
      </c>
      <c r="O601" s="30" t="n">
        <v>10.29</v>
      </c>
      <c r="P601" s="29" t="n">
        <v>0.01</v>
      </c>
      <c r="Q601" s="27" t="n">
        <v>553500</v>
      </c>
      <c r="R601" s="27" t="n">
        <v>181416</v>
      </c>
      <c r="S601" s="27" t="n">
        <v>152376</v>
      </c>
      <c r="T601" s="29" t="n">
        <v>0.842</v>
      </c>
      <c r="U601" s="29" t="n">
        <v>0.283</v>
      </c>
      <c r="V601" s="29" t="n">
        <v>0.88</v>
      </c>
      <c r="W601" s="28" t="n">
        <v>11.9</v>
      </c>
    </row>
    <row r="602" customFormat="false" ht="15" hidden="false" customHeight="false" outlineLevel="0" collapsed="false">
      <c r="A602" s="25" t="s">
        <v>834</v>
      </c>
      <c r="B602" s="25" t="s">
        <v>388</v>
      </c>
      <c r="C602" s="26" t="n">
        <v>45962</v>
      </c>
      <c r="D602" s="27" t="n">
        <v>33033</v>
      </c>
      <c r="E602" s="28" t="n">
        <v>647.8</v>
      </c>
      <c r="F602" s="29" t="n">
        <v>0.0505</v>
      </c>
      <c r="G602" s="29" t="n">
        <v>0.1689</v>
      </c>
      <c r="H602" s="30" t="n">
        <v>12.82</v>
      </c>
      <c r="I602" s="29" t="n">
        <v>0.0285</v>
      </c>
      <c r="J602" s="29" t="n">
        <v>0.016</v>
      </c>
      <c r="K602" s="29" t="n">
        <v>0.0277</v>
      </c>
      <c r="L602" s="27" t="n">
        <v>23</v>
      </c>
      <c r="M602" s="27" t="n">
        <v>22020</v>
      </c>
      <c r="N602" s="30" t="n">
        <v>39.52</v>
      </c>
      <c r="O602" s="30" t="n">
        <v>10.37</v>
      </c>
      <c r="P602" s="29" t="n">
        <v>0.0103</v>
      </c>
      <c r="Q602" s="27" t="n">
        <v>553500</v>
      </c>
      <c r="R602" s="27" t="n">
        <v>169875</v>
      </c>
      <c r="S602" s="27" t="n">
        <v>154841</v>
      </c>
      <c r="T602" s="29" t="n">
        <v>0.831</v>
      </c>
      <c r="U602" s="29" t="n">
        <v>0.291</v>
      </c>
      <c r="V602" s="29" t="n">
        <v>0.875</v>
      </c>
      <c r="W602" s="28" t="n">
        <v>11.7</v>
      </c>
    </row>
    <row r="603" customFormat="false" ht="15" hidden="false" customHeight="false" outlineLevel="0" collapsed="false">
      <c r="A603" s="25" t="s">
        <v>835</v>
      </c>
      <c r="B603" s="25" t="s">
        <v>388</v>
      </c>
      <c r="C603" s="26" t="n">
        <v>45992</v>
      </c>
      <c r="D603" s="27" t="n">
        <v>31627</v>
      </c>
      <c r="E603" s="28" t="n">
        <v>625.4</v>
      </c>
      <c r="F603" s="29" t="n">
        <v>0.0543</v>
      </c>
      <c r="G603" s="29" t="n">
        <v>0.1688</v>
      </c>
      <c r="H603" s="30" t="n">
        <v>12.33</v>
      </c>
      <c r="I603" s="29" t="n">
        <v>0.0269</v>
      </c>
      <c r="J603" s="29" t="n">
        <v>0.0161</v>
      </c>
      <c r="K603" s="29" t="n">
        <v>0.0249</v>
      </c>
      <c r="L603" s="27" t="n">
        <v>23</v>
      </c>
      <c r="M603" s="27" t="n">
        <v>22040</v>
      </c>
      <c r="N603" s="30" t="n">
        <v>38.96</v>
      </c>
      <c r="O603" s="30" t="n">
        <v>10.46</v>
      </c>
      <c r="P603" s="29" t="n">
        <v>0.0101</v>
      </c>
      <c r="Q603" s="27" t="n">
        <v>553500</v>
      </c>
      <c r="R603" s="27" t="n">
        <v>175422</v>
      </c>
      <c r="S603" s="27" t="n">
        <v>146620</v>
      </c>
      <c r="T603" s="29" t="n">
        <v>0.827</v>
      </c>
      <c r="U603" s="29" t="n">
        <v>0.31</v>
      </c>
      <c r="V603" s="29" t="n">
        <v>0.898</v>
      </c>
      <c r="W603" s="28" t="n">
        <v>11.7</v>
      </c>
    </row>
    <row r="604" customFormat="false" ht="15" hidden="false" customHeight="false" outlineLevel="0" collapsed="false">
      <c r="A604" s="25" t="s">
        <v>836</v>
      </c>
      <c r="B604" s="25" t="s">
        <v>388</v>
      </c>
      <c r="C604" s="26" t="n">
        <v>46023</v>
      </c>
      <c r="D604" s="27" t="n">
        <v>31819</v>
      </c>
      <c r="E604" s="28" t="n">
        <v>636.3</v>
      </c>
      <c r="F604" s="29" t="n">
        <v>0.0513</v>
      </c>
      <c r="G604" s="29" t="n">
        <v>0.1718</v>
      </c>
      <c r="H604" s="30" t="n">
        <v>12.3</v>
      </c>
      <c r="I604" s="29" t="n">
        <v>0.0282</v>
      </c>
      <c r="J604" s="29" t="n">
        <v>0.0162</v>
      </c>
      <c r="K604" s="29" t="n">
        <v>0.021</v>
      </c>
      <c r="L604" s="27" t="n">
        <v>22</v>
      </c>
      <c r="M604" s="27" t="n">
        <v>22060</v>
      </c>
      <c r="N604" s="30" t="n">
        <v>39.21</v>
      </c>
      <c r="O604" s="30" t="n">
        <v>10.4</v>
      </c>
      <c r="P604" s="29" t="n">
        <v>0.0099</v>
      </c>
      <c r="Q604" s="27" t="n">
        <v>553500</v>
      </c>
      <c r="R604" s="27" t="n">
        <v>175938</v>
      </c>
      <c r="S604" s="27" t="n">
        <v>123645</v>
      </c>
      <c r="T604" s="29" t="n">
        <v>0.833</v>
      </c>
      <c r="U604" s="29" t="n">
        <v>0.276</v>
      </c>
      <c r="V604" s="29" t="n">
        <v>0.91</v>
      </c>
      <c r="W604" s="28" t="n">
        <v>11.3</v>
      </c>
    </row>
    <row r="605" customFormat="false" ht="15" hidden="false" customHeight="false" outlineLevel="0" collapsed="false">
      <c r="A605" s="25" t="s">
        <v>837</v>
      </c>
      <c r="B605" s="25" t="s">
        <v>388</v>
      </c>
      <c r="C605" s="26" t="n">
        <v>46054</v>
      </c>
      <c r="D605" s="27" t="n">
        <v>28195</v>
      </c>
      <c r="E605" s="28" t="n">
        <v>656.7</v>
      </c>
      <c r="F605" s="29" t="n">
        <v>0.0536</v>
      </c>
      <c r="G605" s="29" t="n">
        <v>0.1699</v>
      </c>
      <c r="H605" s="30" t="n">
        <v>12.66</v>
      </c>
      <c r="I605" s="29" t="n">
        <v>0.0275</v>
      </c>
      <c r="J605" s="29" t="n">
        <v>0.0165</v>
      </c>
      <c r="K605" s="29" t="n">
        <v>0.0227</v>
      </c>
      <c r="L605" s="27" t="n">
        <v>21</v>
      </c>
      <c r="M605" s="27" t="n">
        <v>22080</v>
      </c>
      <c r="N605" s="30" t="n">
        <v>38.82</v>
      </c>
      <c r="O605" s="30" t="n">
        <v>11.24</v>
      </c>
      <c r="P605" s="29" t="n">
        <v>0.0098</v>
      </c>
      <c r="Q605" s="27" t="n">
        <v>553500</v>
      </c>
      <c r="R605" s="27" t="n">
        <v>169256</v>
      </c>
      <c r="S605" s="27" t="n">
        <v>140897</v>
      </c>
      <c r="T605" s="29" t="n">
        <v>0.847</v>
      </c>
      <c r="U605" s="29" t="n">
        <v>0.276</v>
      </c>
      <c r="V605" s="29" t="n">
        <v>0.878</v>
      </c>
      <c r="W605" s="28" t="n">
        <v>11.6</v>
      </c>
    </row>
    <row r="606" customFormat="false" ht="15" hidden="false" customHeight="false" outlineLevel="0" collapsed="false">
      <c r="A606" s="25" t="s">
        <v>838</v>
      </c>
      <c r="B606" s="25" t="s">
        <v>388</v>
      </c>
      <c r="C606" s="26" t="n">
        <v>46082</v>
      </c>
      <c r="D606" s="27" t="n">
        <v>32708</v>
      </c>
      <c r="E606" s="28" t="n">
        <v>643.2</v>
      </c>
      <c r="F606" s="29" t="n">
        <v>0.0537</v>
      </c>
      <c r="G606" s="29" t="n">
        <v>0.1695</v>
      </c>
      <c r="H606" s="30" t="n">
        <v>12.64</v>
      </c>
      <c r="I606" s="29" t="n">
        <v>0.0302</v>
      </c>
      <c r="J606" s="29" t="n">
        <v>0.0171</v>
      </c>
      <c r="K606" s="29" t="n">
        <v>0.0183</v>
      </c>
      <c r="L606" s="27" t="n">
        <v>22</v>
      </c>
      <c r="M606" s="27" t="n">
        <v>22100</v>
      </c>
      <c r="N606" s="30" t="n">
        <v>38.98</v>
      </c>
      <c r="O606" s="30" t="n">
        <v>10.4</v>
      </c>
      <c r="P606" s="29" t="n">
        <v>0.0098</v>
      </c>
      <c r="Q606" s="27" t="n">
        <v>553500</v>
      </c>
      <c r="R606" s="27" t="n">
        <v>182420</v>
      </c>
      <c r="S606" s="27" t="n">
        <v>133192</v>
      </c>
      <c r="T606" s="29" t="n">
        <v>0.821</v>
      </c>
      <c r="U606" s="29" t="n">
        <v>0.297</v>
      </c>
      <c r="V606" s="29" t="n">
        <v>0.905</v>
      </c>
      <c r="W606" s="28" t="n">
        <v>11.7</v>
      </c>
    </row>
    <row r="607" customFormat="false" ht="15" hidden="false" customHeight="false" outlineLevel="0" collapsed="false">
      <c r="A607" s="25" t="s">
        <v>839</v>
      </c>
      <c r="B607" s="25" t="s">
        <v>388</v>
      </c>
      <c r="C607" s="26" t="n">
        <v>46113</v>
      </c>
      <c r="D607" s="27" t="n">
        <v>34861</v>
      </c>
      <c r="E607" s="28" t="n">
        <v>663.6</v>
      </c>
      <c r="F607" s="29" t="n">
        <v>0.05</v>
      </c>
      <c r="G607" s="29" t="n">
        <v>0.1669</v>
      </c>
      <c r="H607" s="30" t="n">
        <v>12.87</v>
      </c>
      <c r="I607" s="29" t="n">
        <v>0.0277</v>
      </c>
      <c r="J607" s="29" t="n">
        <v>0.0149</v>
      </c>
      <c r="K607" s="29" t="n">
        <v>0.0351</v>
      </c>
      <c r="L607" s="27" t="n">
        <v>26</v>
      </c>
      <c r="M607" s="27" t="n">
        <v>22120</v>
      </c>
      <c r="N607" s="30" t="n">
        <v>39</v>
      </c>
      <c r="O607" s="30" t="n">
        <v>10.57</v>
      </c>
      <c r="P607" s="29" t="n">
        <v>0.01</v>
      </c>
      <c r="Q607" s="27" t="n">
        <v>553500</v>
      </c>
      <c r="R607" s="27" t="n">
        <v>183519</v>
      </c>
      <c r="S607" s="27" t="n">
        <v>162955</v>
      </c>
      <c r="T607" s="29" t="n">
        <v>0.824</v>
      </c>
      <c r="U607" s="29" t="n">
        <v>0.299</v>
      </c>
      <c r="V607" s="29" t="n">
        <v>0.866</v>
      </c>
      <c r="W607" s="28" t="n">
        <v>11.8</v>
      </c>
    </row>
    <row r="608" customFormat="false" ht="15" hidden="false" customHeight="false" outlineLevel="0" collapsed="false">
      <c r="A608" s="25" t="s">
        <v>840</v>
      </c>
      <c r="B608" s="25" t="s">
        <v>388</v>
      </c>
      <c r="C608" s="26" t="n">
        <v>46143</v>
      </c>
      <c r="D608" s="27" t="n">
        <v>37091</v>
      </c>
      <c r="E608" s="28" t="n">
        <v>650.8</v>
      </c>
      <c r="F608" s="29" t="n">
        <v>0.0502</v>
      </c>
      <c r="G608" s="29" t="n">
        <v>0.1705</v>
      </c>
      <c r="H608" s="30" t="n">
        <v>12.72</v>
      </c>
      <c r="I608" s="29" t="n">
        <v>0.0301</v>
      </c>
      <c r="J608" s="29" t="n">
        <v>0.016</v>
      </c>
      <c r="K608" s="29" t="n">
        <v>0.0305</v>
      </c>
      <c r="L608" s="27" t="n">
        <v>25</v>
      </c>
      <c r="M608" s="27" t="n">
        <v>22140</v>
      </c>
      <c r="N608" s="30" t="n">
        <v>38.86</v>
      </c>
      <c r="O608" s="30" t="n">
        <v>10.9</v>
      </c>
      <c r="P608" s="29" t="n">
        <v>0.0103</v>
      </c>
      <c r="Q608" s="27" t="n">
        <v>553500</v>
      </c>
      <c r="R608" s="27" t="n">
        <v>176058</v>
      </c>
      <c r="S608" s="27" t="n">
        <v>176038</v>
      </c>
      <c r="T608" s="29" t="n">
        <v>0.844</v>
      </c>
      <c r="U608" s="29" t="n">
        <v>0.279</v>
      </c>
      <c r="V608" s="29" t="n">
        <v>0.894</v>
      </c>
      <c r="W608" s="28" t="n">
        <v>11.5</v>
      </c>
    </row>
    <row r="609" customFormat="false" ht="15" hidden="false" customHeight="false" outlineLevel="0" collapsed="false">
      <c r="A609" s="25" t="s">
        <v>841</v>
      </c>
      <c r="B609" s="25" t="s">
        <v>388</v>
      </c>
      <c r="C609" s="26" t="n">
        <v>46174</v>
      </c>
      <c r="D609" s="27" t="n">
        <v>34759</v>
      </c>
      <c r="E609" s="28" t="n">
        <v>635.7</v>
      </c>
      <c r="F609" s="29" t="n">
        <v>0.049</v>
      </c>
      <c r="G609" s="29" t="n">
        <v>0.1719</v>
      </c>
      <c r="H609" s="30" t="n">
        <v>12.04</v>
      </c>
      <c r="I609" s="29" t="n">
        <v>0.0286</v>
      </c>
      <c r="J609" s="29" t="n">
        <v>0.0154</v>
      </c>
      <c r="K609" s="29" t="n">
        <v>0.0189</v>
      </c>
      <c r="L609" s="27" t="n">
        <v>24</v>
      </c>
      <c r="M609" s="27" t="n">
        <v>22160</v>
      </c>
      <c r="N609" s="30" t="n">
        <v>38.7</v>
      </c>
      <c r="O609" s="30" t="n">
        <v>10.87</v>
      </c>
      <c r="P609" s="29" t="n">
        <v>0.0103</v>
      </c>
      <c r="Q609" s="27" t="n">
        <v>553500</v>
      </c>
      <c r="R609" s="27" t="n">
        <v>181567</v>
      </c>
      <c r="S609" s="27" t="n">
        <v>151356</v>
      </c>
      <c r="T609" s="29" t="n">
        <v>0.846</v>
      </c>
      <c r="U609" s="29" t="n">
        <v>0.291</v>
      </c>
      <c r="V609" s="29" t="n">
        <v>0.901</v>
      </c>
      <c r="W609" s="28" t="n">
        <v>11</v>
      </c>
    </row>
    <row r="610" customFormat="false" ht="15" hidden="false" customHeight="false" outlineLevel="0" collapsed="false">
      <c r="A610" s="25" t="s">
        <v>842</v>
      </c>
      <c r="B610" s="25" t="s">
        <v>388</v>
      </c>
      <c r="C610" s="26" t="n">
        <v>46204</v>
      </c>
      <c r="D610" s="27" t="n">
        <v>34511</v>
      </c>
      <c r="E610" s="28" t="n">
        <v>653.7</v>
      </c>
      <c r="F610" s="29" t="n">
        <v>0.0521</v>
      </c>
      <c r="G610" s="29" t="n">
        <v>0.1679</v>
      </c>
      <c r="H610" s="30" t="n">
        <v>12.75</v>
      </c>
      <c r="I610" s="29" t="n">
        <v>0.0291</v>
      </c>
      <c r="J610" s="29" t="n">
        <v>0.0167</v>
      </c>
      <c r="K610" s="29" t="n">
        <v>0.0263</v>
      </c>
      <c r="L610" s="27" t="n">
        <v>25</v>
      </c>
      <c r="M610" s="27" t="n">
        <v>22180</v>
      </c>
      <c r="N610" s="30" t="n">
        <v>38.24</v>
      </c>
      <c r="O610" s="30" t="n">
        <v>10.45</v>
      </c>
      <c r="P610" s="29" t="n">
        <v>0.0096</v>
      </c>
      <c r="Q610" s="27" t="n">
        <v>553500</v>
      </c>
      <c r="R610" s="27" t="n">
        <v>177249</v>
      </c>
      <c r="S610" s="27" t="n">
        <v>147981</v>
      </c>
      <c r="T610" s="29" t="n">
        <v>0.847</v>
      </c>
      <c r="U610" s="29" t="n">
        <v>0.293</v>
      </c>
      <c r="V610" s="29" t="n">
        <v>0.904</v>
      </c>
      <c r="W610" s="28" t="n">
        <v>11.3</v>
      </c>
    </row>
    <row r="611" customFormat="false" ht="15" hidden="false" customHeight="false" outlineLevel="0" collapsed="false">
      <c r="A611" s="25" t="s">
        <v>843</v>
      </c>
      <c r="B611" s="25" t="s">
        <v>388</v>
      </c>
      <c r="C611" s="26" t="n">
        <v>46235</v>
      </c>
      <c r="D611" s="27" t="n">
        <v>37351</v>
      </c>
      <c r="E611" s="28" t="n">
        <v>649.7</v>
      </c>
      <c r="F611" s="29" t="n">
        <v>0.0523</v>
      </c>
      <c r="G611" s="29" t="n">
        <v>0.1703</v>
      </c>
      <c r="H611" s="30" t="n">
        <v>12.7</v>
      </c>
      <c r="I611" s="29" t="n">
        <v>0.0314</v>
      </c>
      <c r="J611" s="29" t="n">
        <v>0.0162</v>
      </c>
      <c r="K611" s="29" t="n">
        <v>0.0197</v>
      </c>
      <c r="L611" s="27" t="n">
        <v>26</v>
      </c>
      <c r="M611" s="27" t="n">
        <v>22200</v>
      </c>
      <c r="N611" s="30" t="n">
        <v>40.62</v>
      </c>
      <c r="O611" s="30" t="n">
        <v>10.28</v>
      </c>
      <c r="P611" s="29" t="n">
        <v>0.01</v>
      </c>
      <c r="Q611" s="27" t="n">
        <v>553500</v>
      </c>
      <c r="R611" s="27" t="n">
        <v>173335</v>
      </c>
      <c r="S611" s="27" t="n">
        <v>160753</v>
      </c>
      <c r="T611" s="29" t="n">
        <v>0.834</v>
      </c>
      <c r="U611" s="29" t="n">
        <v>0.301</v>
      </c>
      <c r="V611" s="29" t="n">
        <v>0.897</v>
      </c>
      <c r="W611" s="28" t="n">
        <v>11.3</v>
      </c>
    </row>
    <row r="612" customFormat="false" ht="15" hidden="false" customHeight="false" outlineLevel="0" collapsed="false">
      <c r="A612" s="25" t="s">
        <v>844</v>
      </c>
      <c r="B612" s="25" t="s">
        <v>388</v>
      </c>
      <c r="C612" s="26" t="n">
        <v>46266</v>
      </c>
      <c r="D612" s="27" t="n">
        <v>36731</v>
      </c>
      <c r="E612" s="28" t="n">
        <v>634.1</v>
      </c>
      <c r="F612" s="29" t="n">
        <v>0.0512</v>
      </c>
      <c r="G612" s="29" t="n">
        <v>0.17</v>
      </c>
      <c r="H612" s="30" t="n">
        <v>12.2</v>
      </c>
      <c r="I612" s="29" t="n">
        <v>0.0296</v>
      </c>
      <c r="J612" s="29" t="n">
        <v>0.0181</v>
      </c>
      <c r="K612" s="29" t="n">
        <v>0.024</v>
      </c>
      <c r="L612" s="27" t="n">
        <v>25</v>
      </c>
      <c r="M612" s="27" t="n">
        <v>22220</v>
      </c>
      <c r="N612" s="30" t="n">
        <v>38.66</v>
      </c>
      <c r="O612" s="30" t="n">
        <v>10.67</v>
      </c>
      <c r="P612" s="29" t="n">
        <v>0.0101</v>
      </c>
      <c r="Q612" s="27" t="n">
        <v>553500</v>
      </c>
      <c r="R612" s="27" t="n">
        <v>181489</v>
      </c>
      <c r="S612" s="27" t="n">
        <v>148775</v>
      </c>
      <c r="T612" s="29" t="n">
        <v>0.805</v>
      </c>
      <c r="U612" s="29" t="n">
        <v>0.289</v>
      </c>
      <c r="V612" s="29" t="n">
        <v>0.885</v>
      </c>
      <c r="W612" s="28" t="n">
        <v>11.7</v>
      </c>
    </row>
    <row r="613" customFormat="false" ht="15" hidden="false" customHeight="false" outlineLevel="0" collapsed="false">
      <c r="A613" s="25" t="s">
        <v>845</v>
      </c>
      <c r="B613" s="25" t="s">
        <v>391</v>
      </c>
      <c r="C613" s="26" t="n">
        <v>45931</v>
      </c>
      <c r="D613" s="27" t="n">
        <v>15249</v>
      </c>
      <c r="E613" s="28" t="n">
        <v>731.7</v>
      </c>
      <c r="F613" s="29" t="n">
        <v>0.0666</v>
      </c>
      <c r="G613" s="29" t="n">
        <v>0.1687</v>
      </c>
      <c r="H613" s="30" t="n">
        <v>12.49</v>
      </c>
      <c r="I613" s="29" t="n">
        <v>0.0234</v>
      </c>
      <c r="J613" s="29" t="n">
        <v>0.0312</v>
      </c>
      <c r="K613" s="29" t="n">
        <v>0.0498</v>
      </c>
      <c r="L613" s="27" t="n">
        <v>16</v>
      </c>
      <c r="M613" s="27" t="n">
        <v>22000</v>
      </c>
      <c r="N613" s="30" t="n">
        <v>47</v>
      </c>
      <c r="O613" s="30" t="n">
        <v>11.14</v>
      </c>
      <c r="P613" s="29" t="n">
        <v>0.0101</v>
      </c>
      <c r="Q613" s="27" t="n">
        <v>530000</v>
      </c>
      <c r="R613" s="27" t="n">
        <v>182935</v>
      </c>
      <c r="S613" s="27" t="n">
        <v>266721</v>
      </c>
      <c r="T613" s="29" t="n">
        <v>0.665</v>
      </c>
      <c r="U613" s="29" t="n">
        <v>0.263</v>
      </c>
      <c r="V613" s="29" t="n">
        <v>0.851</v>
      </c>
      <c r="W613" s="28" t="n">
        <v>12.7</v>
      </c>
    </row>
    <row r="614" customFormat="false" ht="15" hidden="false" customHeight="false" outlineLevel="0" collapsed="false">
      <c r="A614" s="25" t="s">
        <v>846</v>
      </c>
      <c r="B614" s="25" t="s">
        <v>391</v>
      </c>
      <c r="C614" s="26" t="n">
        <v>45962</v>
      </c>
      <c r="D614" s="27" t="n">
        <v>17735</v>
      </c>
      <c r="E614" s="28" t="n">
        <v>697.5</v>
      </c>
      <c r="F614" s="29" t="n">
        <v>0.0694</v>
      </c>
      <c r="G614" s="29" t="n">
        <v>0.1678</v>
      </c>
      <c r="H614" s="30" t="n">
        <v>11.95</v>
      </c>
      <c r="I614" s="29" t="n">
        <v>0.0238</v>
      </c>
      <c r="J614" s="29" t="n">
        <v>0.0292</v>
      </c>
      <c r="K614" s="29" t="n">
        <v>0.0455</v>
      </c>
      <c r="L614" s="27" t="n">
        <v>16</v>
      </c>
      <c r="M614" s="27" t="n">
        <v>22020</v>
      </c>
      <c r="N614" s="30" t="n">
        <v>45.65</v>
      </c>
      <c r="O614" s="30" t="n">
        <v>10.58</v>
      </c>
      <c r="P614" s="29" t="n">
        <v>0.01</v>
      </c>
      <c r="Q614" s="27" t="n">
        <v>530000</v>
      </c>
      <c r="R614" s="27" t="n">
        <v>195014</v>
      </c>
      <c r="S614" s="27" t="n">
        <v>266263</v>
      </c>
      <c r="T614" s="29" t="n">
        <v>0.656</v>
      </c>
      <c r="U614" s="29" t="n">
        <v>0.266</v>
      </c>
      <c r="V614" s="29" t="n">
        <v>0.86</v>
      </c>
      <c r="W614" s="28" t="n">
        <v>12.6</v>
      </c>
    </row>
    <row r="615" customFormat="false" ht="15" hidden="false" customHeight="false" outlineLevel="0" collapsed="false">
      <c r="A615" s="25" t="s">
        <v>847</v>
      </c>
      <c r="B615" s="25" t="s">
        <v>391</v>
      </c>
      <c r="C615" s="26" t="n">
        <v>45992</v>
      </c>
      <c r="D615" s="27" t="n">
        <v>20995</v>
      </c>
      <c r="E615" s="28" t="n">
        <v>717.4</v>
      </c>
      <c r="F615" s="29" t="n">
        <v>0.062</v>
      </c>
      <c r="G615" s="29" t="n">
        <v>0.1725</v>
      </c>
      <c r="H615" s="30" t="n">
        <v>12.37</v>
      </c>
      <c r="I615" s="29" t="n">
        <v>0.0235</v>
      </c>
      <c r="J615" s="29" t="n">
        <v>0.0297</v>
      </c>
      <c r="K615" s="29" t="n">
        <v>0.0468</v>
      </c>
      <c r="L615" s="27" t="n">
        <v>17</v>
      </c>
      <c r="M615" s="27" t="n">
        <v>22040</v>
      </c>
      <c r="N615" s="30" t="n">
        <v>44.16</v>
      </c>
      <c r="O615" s="30" t="n">
        <v>10.66</v>
      </c>
      <c r="P615" s="29" t="n">
        <v>0.0096</v>
      </c>
      <c r="Q615" s="27" t="n">
        <v>530000</v>
      </c>
      <c r="R615" s="27" t="n">
        <v>193941</v>
      </c>
      <c r="S615" s="27" t="n">
        <v>290288</v>
      </c>
      <c r="T615" s="29" t="n">
        <v>0.673</v>
      </c>
      <c r="U615" s="29" t="n">
        <v>0.263</v>
      </c>
      <c r="V615" s="29" t="n">
        <v>0.844</v>
      </c>
      <c r="W615" s="28" t="n">
        <v>12.9</v>
      </c>
    </row>
    <row r="616" customFormat="false" ht="15" hidden="false" customHeight="false" outlineLevel="0" collapsed="false">
      <c r="A616" s="25" t="s">
        <v>848</v>
      </c>
      <c r="B616" s="25" t="s">
        <v>391</v>
      </c>
      <c r="C616" s="26" t="n">
        <v>46023</v>
      </c>
      <c r="D616" s="27" t="n">
        <v>20796</v>
      </c>
      <c r="E616" s="28" t="n">
        <v>707.8</v>
      </c>
      <c r="F616" s="29" t="n">
        <v>0.0632</v>
      </c>
      <c r="G616" s="29" t="n">
        <v>0.1707</v>
      </c>
      <c r="H616" s="30" t="n">
        <v>12.29</v>
      </c>
      <c r="I616" s="29" t="n">
        <v>0.0241</v>
      </c>
      <c r="J616" s="29" t="n">
        <v>0.0283</v>
      </c>
      <c r="K616" s="29" t="n">
        <v>0.0486</v>
      </c>
      <c r="L616" s="27" t="n">
        <v>17</v>
      </c>
      <c r="M616" s="27" t="n">
        <v>22060</v>
      </c>
      <c r="N616" s="30" t="n">
        <v>44.48</v>
      </c>
      <c r="O616" s="30" t="n">
        <v>10.71</v>
      </c>
      <c r="P616" s="29" t="n">
        <v>0.01</v>
      </c>
      <c r="Q616" s="27" t="n">
        <v>530000</v>
      </c>
      <c r="R616" s="27" t="n">
        <v>197185</v>
      </c>
      <c r="S616" s="27" t="n">
        <v>253040</v>
      </c>
      <c r="T616" s="29" t="n">
        <v>0.702</v>
      </c>
      <c r="U616" s="29" t="n">
        <v>0.268</v>
      </c>
      <c r="V616" s="29" t="n">
        <v>0.858</v>
      </c>
      <c r="W616" s="28" t="n">
        <v>12.3</v>
      </c>
    </row>
    <row r="617" customFormat="false" ht="15" hidden="false" customHeight="false" outlineLevel="0" collapsed="false">
      <c r="A617" s="25" t="s">
        <v>849</v>
      </c>
      <c r="B617" s="25" t="s">
        <v>391</v>
      </c>
      <c r="C617" s="26" t="n">
        <v>46054</v>
      </c>
      <c r="D617" s="27" t="n">
        <v>21000</v>
      </c>
      <c r="E617" s="28" t="n">
        <v>685.3</v>
      </c>
      <c r="F617" s="29" t="n">
        <v>0.0611</v>
      </c>
      <c r="G617" s="29" t="n">
        <v>0.1697</v>
      </c>
      <c r="H617" s="30" t="n">
        <v>12.31</v>
      </c>
      <c r="I617" s="29" t="n">
        <v>0.0241</v>
      </c>
      <c r="J617" s="29" t="n">
        <v>0.0254</v>
      </c>
      <c r="K617" s="29" t="n">
        <v>0.0461</v>
      </c>
      <c r="L617" s="27" t="n">
        <v>19</v>
      </c>
      <c r="M617" s="27" t="n">
        <v>22080</v>
      </c>
      <c r="N617" s="30" t="n">
        <v>42.96</v>
      </c>
      <c r="O617" s="30" t="n">
        <v>10.28</v>
      </c>
      <c r="P617" s="29" t="n">
        <v>0.0099</v>
      </c>
      <c r="Q617" s="27" t="n">
        <v>530000</v>
      </c>
      <c r="R617" s="27" t="n">
        <v>195039</v>
      </c>
      <c r="S617" s="27" t="n">
        <v>233693</v>
      </c>
      <c r="T617" s="29" t="n">
        <v>0.716</v>
      </c>
      <c r="U617" s="29" t="n">
        <v>0.269</v>
      </c>
      <c r="V617" s="29" t="n">
        <v>0.848</v>
      </c>
      <c r="W617" s="28" t="n">
        <v>12.9</v>
      </c>
    </row>
    <row r="618" customFormat="false" ht="15" hidden="false" customHeight="false" outlineLevel="0" collapsed="false">
      <c r="A618" s="25" t="s">
        <v>850</v>
      </c>
      <c r="B618" s="25" t="s">
        <v>391</v>
      </c>
      <c r="C618" s="26" t="n">
        <v>46082</v>
      </c>
      <c r="D618" s="27" t="n">
        <v>26036</v>
      </c>
      <c r="E618" s="28" t="n">
        <v>717.2</v>
      </c>
      <c r="F618" s="29" t="n">
        <v>0.0594</v>
      </c>
      <c r="G618" s="29" t="n">
        <v>0.1697</v>
      </c>
      <c r="H618" s="30" t="n">
        <v>12.71</v>
      </c>
      <c r="I618" s="29" t="n">
        <v>0.0264</v>
      </c>
      <c r="J618" s="29" t="n">
        <v>0.0249</v>
      </c>
      <c r="K618" s="29" t="n">
        <v>0.0504</v>
      </c>
      <c r="L618" s="27" t="n">
        <v>19</v>
      </c>
      <c r="M618" s="27" t="n">
        <v>22100</v>
      </c>
      <c r="N618" s="30" t="n">
        <v>42.39</v>
      </c>
      <c r="O618" s="30" t="n">
        <v>10.77</v>
      </c>
      <c r="P618" s="29" t="n">
        <v>0.0101</v>
      </c>
      <c r="Q618" s="27" t="n">
        <v>530000</v>
      </c>
      <c r="R618" s="27" t="n">
        <v>182180</v>
      </c>
      <c r="S618" s="27" t="n">
        <v>297284</v>
      </c>
      <c r="T618" s="29" t="n">
        <v>0.716</v>
      </c>
      <c r="U618" s="29" t="n">
        <v>0.244</v>
      </c>
      <c r="V618" s="29" t="n">
        <v>0.847</v>
      </c>
      <c r="W618" s="28" t="n">
        <v>13.2</v>
      </c>
    </row>
    <row r="619" customFormat="false" ht="15" hidden="false" customHeight="false" outlineLevel="0" collapsed="false">
      <c r="A619" s="25" t="s">
        <v>851</v>
      </c>
      <c r="B619" s="25" t="s">
        <v>391</v>
      </c>
      <c r="C619" s="26" t="n">
        <v>46113</v>
      </c>
      <c r="D619" s="27" t="n">
        <v>28631</v>
      </c>
      <c r="E619" s="28" t="n">
        <v>710</v>
      </c>
      <c r="F619" s="29" t="n">
        <v>0.0599</v>
      </c>
      <c r="G619" s="29" t="n">
        <v>0.1658</v>
      </c>
      <c r="H619" s="30" t="n">
        <v>11.91</v>
      </c>
      <c r="I619" s="29" t="n">
        <v>0.028</v>
      </c>
      <c r="J619" s="29" t="n">
        <v>0.0239</v>
      </c>
      <c r="K619" s="29" t="n">
        <v>0.0512</v>
      </c>
      <c r="L619" s="27" t="n">
        <v>23</v>
      </c>
      <c r="M619" s="27" t="n">
        <v>22120</v>
      </c>
      <c r="N619" s="30" t="n">
        <v>40.78</v>
      </c>
      <c r="O619" s="30" t="n">
        <v>10.52</v>
      </c>
      <c r="P619" s="29" t="n">
        <v>0.0097</v>
      </c>
      <c r="Q619" s="27" t="n">
        <v>530000</v>
      </c>
      <c r="R619" s="27" t="n">
        <v>190247</v>
      </c>
      <c r="S619" s="27" t="n">
        <v>290500</v>
      </c>
      <c r="T619" s="29" t="n">
        <v>0.755</v>
      </c>
      <c r="U619" s="29" t="n">
        <v>0.264</v>
      </c>
      <c r="V619" s="29" t="n">
        <v>0.855</v>
      </c>
      <c r="W619" s="28" t="n">
        <v>12.5</v>
      </c>
    </row>
    <row r="620" customFormat="false" ht="15" hidden="false" customHeight="false" outlineLevel="0" collapsed="false">
      <c r="A620" s="25" t="s">
        <v>852</v>
      </c>
      <c r="B620" s="25" t="s">
        <v>391</v>
      </c>
      <c r="C620" s="26" t="n">
        <v>46143</v>
      </c>
      <c r="D620" s="27" t="n">
        <v>31184</v>
      </c>
      <c r="E620" s="28" t="n">
        <v>719.6</v>
      </c>
      <c r="F620" s="29" t="n">
        <v>0.0593</v>
      </c>
      <c r="G620" s="29" t="n">
        <v>0.1695</v>
      </c>
      <c r="H620" s="30" t="n">
        <v>12.01</v>
      </c>
      <c r="I620" s="29" t="n">
        <v>0.0282</v>
      </c>
      <c r="J620" s="29" t="n">
        <v>0.0246</v>
      </c>
      <c r="K620" s="29" t="n">
        <v>0.0436</v>
      </c>
      <c r="L620" s="27" t="n">
        <v>24</v>
      </c>
      <c r="M620" s="27" t="n">
        <v>22140</v>
      </c>
      <c r="N620" s="30" t="n">
        <v>39.91</v>
      </c>
      <c r="O620" s="30" t="n">
        <v>10.57</v>
      </c>
      <c r="P620" s="29" t="n">
        <v>0.01</v>
      </c>
      <c r="Q620" s="27" t="n">
        <v>530000</v>
      </c>
      <c r="R620" s="27" t="n">
        <v>193663</v>
      </c>
      <c r="S620" s="27" t="n">
        <v>297858</v>
      </c>
      <c r="T620" s="29" t="n">
        <v>0.753</v>
      </c>
      <c r="U620" s="29" t="n">
        <v>0.278</v>
      </c>
      <c r="V620" s="29" t="n">
        <v>0.87</v>
      </c>
      <c r="W620" s="28" t="n">
        <v>12.3</v>
      </c>
    </row>
    <row r="621" customFormat="false" ht="15" hidden="false" customHeight="false" outlineLevel="0" collapsed="false">
      <c r="A621" s="25" t="s">
        <v>853</v>
      </c>
      <c r="B621" s="25" t="s">
        <v>391</v>
      </c>
      <c r="C621" s="26" t="n">
        <v>46174</v>
      </c>
      <c r="D621" s="27" t="n">
        <v>30762</v>
      </c>
      <c r="E621" s="28" t="n">
        <v>716.8</v>
      </c>
      <c r="F621" s="29" t="n">
        <v>0.0596</v>
      </c>
      <c r="G621" s="29" t="n">
        <v>0.1694</v>
      </c>
      <c r="H621" s="30" t="n">
        <v>12.05</v>
      </c>
      <c r="I621" s="29" t="n">
        <v>0.0282</v>
      </c>
      <c r="J621" s="29" t="n">
        <v>0.0235</v>
      </c>
      <c r="K621" s="29" t="n">
        <v>0.0485</v>
      </c>
      <c r="L621" s="27" t="n">
        <v>25</v>
      </c>
      <c r="M621" s="27" t="n">
        <v>22160</v>
      </c>
      <c r="N621" s="30" t="n">
        <v>40.04</v>
      </c>
      <c r="O621" s="30" t="n">
        <v>10.55</v>
      </c>
      <c r="P621" s="29" t="n">
        <v>0.0101</v>
      </c>
      <c r="Q621" s="27" t="n">
        <v>530000</v>
      </c>
      <c r="R621" s="27" t="n">
        <v>191090</v>
      </c>
      <c r="S621" s="27" t="n">
        <v>288396</v>
      </c>
      <c r="T621" s="29" t="n">
        <v>0.753</v>
      </c>
      <c r="U621" s="29" t="n">
        <v>0.277</v>
      </c>
      <c r="V621" s="29" t="n">
        <v>0.85</v>
      </c>
      <c r="W621" s="28" t="n">
        <v>11.9</v>
      </c>
    </row>
    <row r="622" customFormat="false" ht="15" hidden="false" customHeight="false" outlineLevel="0" collapsed="false">
      <c r="A622" s="25" t="s">
        <v>854</v>
      </c>
      <c r="B622" s="25" t="s">
        <v>391</v>
      </c>
      <c r="C622" s="26" t="n">
        <v>46204</v>
      </c>
      <c r="D622" s="27" t="n">
        <v>31266</v>
      </c>
      <c r="E622" s="28" t="n">
        <v>704.5</v>
      </c>
      <c r="F622" s="29" t="n">
        <v>0.0564</v>
      </c>
      <c r="G622" s="29" t="n">
        <v>0.1661</v>
      </c>
      <c r="H622" s="30" t="n">
        <v>11.59</v>
      </c>
      <c r="I622" s="29" t="n">
        <v>0.0293</v>
      </c>
      <c r="J622" s="29" t="n">
        <v>0.0232</v>
      </c>
      <c r="K622" s="29" t="n">
        <v>0.0476</v>
      </c>
      <c r="L622" s="27" t="n">
        <v>24</v>
      </c>
      <c r="M622" s="27" t="n">
        <v>22180</v>
      </c>
      <c r="N622" s="30" t="n">
        <v>39.92</v>
      </c>
      <c r="O622" s="30" t="n">
        <v>10.59</v>
      </c>
      <c r="P622" s="29" t="n">
        <v>0.0098</v>
      </c>
      <c r="Q622" s="27" t="n">
        <v>530000</v>
      </c>
      <c r="R622" s="27" t="n">
        <v>191754</v>
      </c>
      <c r="S622" s="27" t="n">
        <v>270388</v>
      </c>
      <c r="T622" s="29" t="n">
        <v>0.743</v>
      </c>
      <c r="U622" s="29" t="n">
        <v>0.256</v>
      </c>
      <c r="V622" s="29" t="n">
        <v>0.86</v>
      </c>
      <c r="W622" s="28" t="n">
        <v>12</v>
      </c>
    </row>
    <row r="623" customFormat="false" ht="15" hidden="false" customHeight="false" outlineLevel="0" collapsed="false">
      <c r="A623" s="25" t="s">
        <v>855</v>
      </c>
      <c r="B623" s="25" t="s">
        <v>391</v>
      </c>
      <c r="C623" s="26" t="n">
        <v>46235</v>
      </c>
      <c r="D623" s="27" t="n">
        <v>31527</v>
      </c>
      <c r="E623" s="28" t="n">
        <v>714.3</v>
      </c>
      <c r="F623" s="29" t="n">
        <v>0.054</v>
      </c>
      <c r="G623" s="29" t="n">
        <v>0.1661</v>
      </c>
      <c r="H623" s="30" t="n">
        <v>12.86</v>
      </c>
      <c r="I623" s="29" t="n">
        <v>0.0277</v>
      </c>
      <c r="J623" s="29" t="n">
        <v>0.0237</v>
      </c>
      <c r="K623" s="29" t="n">
        <v>0.0496</v>
      </c>
      <c r="L623" s="27" t="n">
        <v>24</v>
      </c>
      <c r="M623" s="27" t="n">
        <v>22200</v>
      </c>
      <c r="N623" s="30" t="n">
        <v>40.35</v>
      </c>
      <c r="O623" s="30" t="n">
        <v>10.57</v>
      </c>
      <c r="P623" s="29" t="n">
        <v>0.0092</v>
      </c>
      <c r="Q623" s="27" t="n">
        <v>530000</v>
      </c>
      <c r="R623" s="27" t="n">
        <v>193941</v>
      </c>
      <c r="S623" s="27" t="n">
        <v>273856</v>
      </c>
      <c r="T623" s="29" t="n">
        <v>0.791</v>
      </c>
      <c r="U623" s="29" t="n">
        <v>0.255</v>
      </c>
      <c r="V623" s="29" t="n">
        <v>0.852</v>
      </c>
      <c r="W623" s="28" t="n">
        <v>12.2</v>
      </c>
    </row>
    <row r="624" customFormat="false" ht="15" hidden="false" customHeight="false" outlineLevel="0" collapsed="false">
      <c r="A624" s="25" t="s">
        <v>856</v>
      </c>
      <c r="B624" s="25" t="s">
        <v>391</v>
      </c>
      <c r="C624" s="26" t="n">
        <v>46266</v>
      </c>
      <c r="D624" s="27" t="n">
        <v>33738</v>
      </c>
      <c r="E624" s="28" t="n">
        <v>699.1</v>
      </c>
      <c r="F624" s="29" t="n">
        <v>0.0502</v>
      </c>
      <c r="G624" s="29" t="n">
        <v>0.1674</v>
      </c>
      <c r="H624" s="30" t="n">
        <v>12.19</v>
      </c>
      <c r="I624" s="29" t="n">
        <v>0.0289</v>
      </c>
      <c r="J624" s="29" t="n">
        <v>0.0239</v>
      </c>
      <c r="K624" s="29" t="n">
        <v>0.0477</v>
      </c>
      <c r="L624" s="27" t="n">
        <v>28</v>
      </c>
      <c r="M624" s="27" t="n">
        <v>22220</v>
      </c>
      <c r="N624" s="30" t="n">
        <v>40.2</v>
      </c>
      <c r="O624" s="30" t="n">
        <v>10.61</v>
      </c>
      <c r="P624" s="29" t="n">
        <v>0.0095</v>
      </c>
      <c r="Q624" s="27" t="n">
        <v>530000</v>
      </c>
      <c r="R624" s="27" t="n">
        <v>182081</v>
      </c>
      <c r="S624" s="27" t="n">
        <v>268814</v>
      </c>
      <c r="T624" s="29" t="n">
        <v>0.779</v>
      </c>
      <c r="U624" s="29" t="n">
        <v>0.262</v>
      </c>
      <c r="V624" s="29" t="n">
        <v>0.849</v>
      </c>
      <c r="W624" s="28" t="n">
        <v>12.4</v>
      </c>
    </row>
    <row r="625" customFormat="false" ht="15" hidden="false" customHeight="false" outlineLevel="0" collapsed="false">
      <c r="A625" s="25" t="s">
        <v>857</v>
      </c>
      <c r="B625" s="25" t="s">
        <v>386</v>
      </c>
      <c r="C625" s="26" t="n">
        <v>45931</v>
      </c>
      <c r="D625" s="27" t="n">
        <v>58130</v>
      </c>
      <c r="E625" s="28" t="n">
        <v>694.5</v>
      </c>
      <c r="F625" s="29" t="n">
        <v>0.0523</v>
      </c>
      <c r="G625" s="29" t="n">
        <v>0.1707</v>
      </c>
      <c r="H625" s="30" t="n">
        <v>12.81</v>
      </c>
      <c r="I625" s="29" t="n">
        <v>0.0333</v>
      </c>
      <c r="J625" s="29" t="n">
        <v>0.0282</v>
      </c>
      <c r="K625" s="29" t="n">
        <v>0.0575</v>
      </c>
      <c r="L625" s="27" t="n">
        <v>45</v>
      </c>
      <c r="M625" s="27" t="n">
        <v>22000</v>
      </c>
      <c r="N625" s="30" t="n">
        <v>37.64</v>
      </c>
      <c r="O625" s="30" t="n">
        <v>10.7</v>
      </c>
      <c r="P625" s="29" t="n">
        <v>0.01</v>
      </c>
      <c r="Q625" s="27" t="n">
        <v>570000</v>
      </c>
      <c r="R625" s="27" t="n">
        <v>183729</v>
      </c>
      <c r="S625" s="27" t="n">
        <v>277468</v>
      </c>
      <c r="T625" s="29" t="n">
        <v>0.814</v>
      </c>
      <c r="U625" s="29" t="n">
        <v>0.313</v>
      </c>
      <c r="V625" s="29" t="n">
        <v>0.824</v>
      </c>
      <c r="W625" s="28" t="n">
        <v>13</v>
      </c>
    </row>
    <row r="626" customFormat="false" ht="15" hidden="false" customHeight="false" outlineLevel="0" collapsed="false">
      <c r="A626" s="25" t="s">
        <v>858</v>
      </c>
      <c r="B626" s="25" t="s">
        <v>386</v>
      </c>
      <c r="C626" s="26" t="n">
        <v>45962</v>
      </c>
      <c r="D626" s="27" t="n">
        <v>51753</v>
      </c>
      <c r="E626" s="28" t="n">
        <v>697.5</v>
      </c>
      <c r="F626" s="29" t="n">
        <v>0.0487</v>
      </c>
      <c r="G626" s="29" t="n">
        <v>0.1693</v>
      </c>
      <c r="H626" s="30" t="n">
        <v>13.07</v>
      </c>
      <c r="I626" s="29" t="n">
        <v>0.0329</v>
      </c>
      <c r="J626" s="29" t="n">
        <v>0.0289</v>
      </c>
      <c r="K626" s="29" t="n">
        <v>0.063</v>
      </c>
      <c r="L626" s="27" t="n">
        <v>42</v>
      </c>
      <c r="M626" s="27" t="n">
        <v>22020</v>
      </c>
      <c r="N626" s="30" t="n">
        <v>36.31</v>
      </c>
      <c r="O626" s="30" t="n">
        <v>10.99</v>
      </c>
      <c r="P626" s="29" t="n">
        <v>0.0097</v>
      </c>
      <c r="Q626" s="27" t="n">
        <v>570000</v>
      </c>
      <c r="R626" s="27" t="n">
        <v>193555</v>
      </c>
      <c r="S626" s="27" t="n">
        <v>260847</v>
      </c>
      <c r="T626" s="29" t="n">
        <v>0.82</v>
      </c>
      <c r="U626" s="29" t="n">
        <v>0.319</v>
      </c>
      <c r="V626" s="29" t="n">
        <v>0.805</v>
      </c>
      <c r="W626" s="28" t="n">
        <v>13.3</v>
      </c>
    </row>
    <row r="627" customFormat="false" ht="15" hidden="false" customHeight="false" outlineLevel="0" collapsed="false">
      <c r="A627" s="25" t="s">
        <v>859</v>
      </c>
      <c r="B627" s="25" t="s">
        <v>386</v>
      </c>
      <c r="C627" s="26" t="n">
        <v>45992</v>
      </c>
      <c r="D627" s="27" t="n">
        <v>55253</v>
      </c>
      <c r="E627" s="28" t="n">
        <v>697.4</v>
      </c>
      <c r="F627" s="29" t="n">
        <v>0.0514</v>
      </c>
      <c r="G627" s="29" t="n">
        <v>0.1668</v>
      </c>
      <c r="H627" s="30" t="n">
        <v>13.03</v>
      </c>
      <c r="I627" s="29" t="n">
        <v>0.032</v>
      </c>
      <c r="J627" s="29" t="n">
        <v>0.0275</v>
      </c>
      <c r="K627" s="29" t="n">
        <v>0.0603</v>
      </c>
      <c r="L627" s="27" t="n">
        <v>43</v>
      </c>
      <c r="M627" s="27" t="n">
        <v>22040</v>
      </c>
      <c r="N627" s="30" t="n">
        <v>37.53</v>
      </c>
      <c r="O627" s="30" t="n">
        <v>10.71</v>
      </c>
      <c r="P627" s="29" t="n">
        <v>0.0102</v>
      </c>
      <c r="Q627" s="27" t="n">
        <v>570000</v>
      </c>
      <c r="R627" s="27" t="n">
        <v>181704</v>
      </c>
      <c r="S627" s="27" t="n">
        <v>283253</v>
      </c>
      <c r="T627" s="29" t="n">
        <v>0.842</v>
      </c>
      <c r="U627" s="29" t="n">
        <v>0.311</v>
      </c>
      <c r="V627" s="29" t="n">
        <v>0.841</v>
      </c>
      <c r="W627" s="28" t="n">
        <v>12.7</v>
      </c>
    </row>
    <row r="628" customFormat="false" ht="15" hidden="false" customHeight="false" outlineLevel="0" collapsed="false">
      <c r="A628" s="25" t="s">
        <v>860</v>
      </c>
      <c r="B628" s="25" t="s">
        <v>386</v>
      </c>
      <c r="C628" s="26" t="n">
        <v>46023</v>
      </c>
      <c r="D628" s="27" t="n">
        <v>52437</v>
      </c>
      <c r="E628" s="28" t="n">
        <v>673.5</v>
      </c>
      <c r="F628" s="29" t="n">
        <v>0.0538</v>
      </c>
      <c r="G628" s="29" t="n">
        <v>0.1723</v>
      </c>
      <c r="H628" s="30" t="n">
        <v>12.77</v>
      </c>
      <c r="I628" s="29" t="n">
        <v>0.0339</v>
      </c>
      <c r="J628" s="29" t="n">
        <v>0.0289</v>
      </c>
      <c r="K628" s="29" t="n">
        <v>0.0594</v>
      </c>
      <c r="L628" s="27" t="n">
        <v>40</v>
      </c>
      <c r="M628" s="27" t="n">
        <v>22060</v>
      </c>
      <c r="N628" s="30" t="n">
        <v>36.87</v>
      </c>
      <c r="O628" s="30" t="n">
        <v>10.58</v>
      </c>
      <c r="P628" s="29" t="n">
        <v>0.0097</v>
      </c>
      <c r="Q628" s="27" t="n">
        <v>570000</v>
      </c>
      <c r="R628" s="27" t="n">
        <v>193763</v>
      </c>
      <c r="S628" s="27" t="n">
        <v>251393</v>
      </c>
      <c r="T628" s="29" t="n">
        <v>0.812</v>
      </c>
      <c r="U628" s="29" t="n">
        <v>0.322</v>
      </c>
      <c r="V628" s="29" t="n">
        <v>0.821</v>
      </c>
      <c r="W628" s="28" t="n">
        <v>13.2</v>
      </c>
    </row>
    <row r="629" customFormat="false" ht="15" hidden="false" customHeight="false" outlineLevel="0" collapsed="false">
      <c r="A629" s="25" t="s">
        <v>861</v>
      </c>
      <c r="B629" s="25" t="s">
        <v>386</v>
      </c>
      <c r="C629" s="26" t="n">
        <v>46054</v>
      </c>
      <c r="D629" s="27" t="n">
        <v>45756</v>
      </c>
      <c r="E629" s="28" t="n">
        <v>699.4</v>
      </c>
      <c r="F629" s="29" t="n">
        <v>0.0541</v>
      </c>
      <c r="G629" s="29" t="n">
        <v>0.1676</v>
      </c>
      <c r="H629" s="30" t="n">
        <v>12.88</v>
      </c>
      <c r="I629" s="29" t="n">
        <v>0.0321</v>
      </c>
      <c r="J629" s="29" t="n">
        <v>0.0286</v>
      </c>
      <c r="K629" s="29" t="n">
        <v>0.0644</v>
      </c>
      <c r="L629" s="27" t="n">
        <v>40</v>
      </c>
      <c r="M629" s="27" t="n">
        <v>22080</v>
      </c>
      <c r="N629" s="30" t="n">
        <v>37.88</v>
      </c>
      <c r="O629" s="30" t="n">
        <v>10.75</v>
      </c>
      <c r="P629" s="29" t="n">
        <v>0.0097</v>
      </c>
      <c r="Q629" s="27" t="n">
        <v>570000</v>
      </c>
      <c r="R629" s="27" t="n">
        <v>183612</v>
      </c>
      <c r="S629" s="27" t="n">
        <v>243342</v>
      </c>
      <c r="T629" s="29" t="n">
        <v>0.836</v>
      </c>
      <c r="U629" s="29" t="n">
        <v>0.316</v>
      </c>
      <c r="V629" s="29" t="n">
        <v>0.834</v>
      </c>
      <c r="W629" s="28" t="n">
        <v>12.6</v>
      </c>
    </row>
    <row r="630" customFormat="false" ht="15" hidden="false" customHeight="false" outlineLevel="0" collapsed="false">
      <c r="A630" s="25" t="s">
        <v>862</v>
      </c>
      <c r="B630" s="25" t="s">
        <v>386</v>
      </c>
      <c r="C630" s="26" t="n">
        <v>46082</v>
      </c>
      <c r="D630" s="27" t="n">
        <v>53601</v>
      </c>
      <c r="E630" s="28" t="n">
        <v>685.6</v>
      </c>
      <c r="F630" s="29" t="n">
        <v>0.0538</v>
      </c>
      <c r="G630" s="29" t="n">
        <v>0.1682</v>
      </c>
      <c r="H630" s="30" t="n">
        <v>13.03</v>
      </c>
      <c r="I630" s="29" t="n">
        <v>0.0321</v>
      </c>
      <c r="J630" s="29" t="n">
        <v>0.0284</v>
      </c>
      <c r="K630" s="29" t="n">
        <v>0.0641</v>
      </c>
      <c r="L630" s="27" t="n">
        <v>41</v>
      </c>
      <c r="M630" s="27" t="n">
        <v>22100</v>
      </c>
      <c r="N630" s="30" t="n">
        <v>36.61</v>
      </c>
      <c r="O630" s="30" t="n">
        <v>10.26</v>
      </c>
      <c r="P630" s="29" t="n">
        <v>0.0097</v>
      </c>
      <c r="Q630" s="27" t="n">
        <v>570000</v>
      </c>
      <c r="R630" s="27" t="n">
        <v>183888</v>
      </c>
      <c r="S630" s="27" t="n">
        <v>230746</v>
      </c>
      <c r="T630" s="29" t="n">
        <v>0.792</v>
      </c>
      <c r="U630" s="29" t="n">
        <v>0.319</v>
      </c>
      <c r="V630" s="29" t="n">
        <v>0.839</v>
      </c>
      <c r="W630" s="28" t="n">
        <v>12.4</v>
      </c>
    </row>
    <row r="631" customFormat="false" ht="15" hidden="false" customHeight="false" outlineLevel="0" collapsed="false">
      <c r="A631" s="25" t="s">
        <v>863</v>
      </c>
      <c r="B631" s="25" t="s">
        <v>386</v>
      </c>
      <c r="C631" s="26" t="n">
        <v>46113</v>
      </c>
      <c r="D631" s="27" t="n">
        <v>55419</v>
      </c>
      <c r="E631" s="28" t="n">
        <v>693.3</v>
      </c>
      <c r="F631" s="29" t="n">
        <v>0.0516</v>
      </c>
      <c r="G631" s="29" t="n">
        <v>0.1689</v>
      </c>
      <c r="H631" s="30" t="n">
        <v>12.97</v>
      </c>
      <c r="I631" s="29" t="n">
        <v>0.0326</v>
      </c>
      <c r="J631" s="29" t="n">
        <v>0.0287</v>
      </c>
      <c r="K631" s="29" t="n">
        <v>0.0578</v>
      </c>
      <c r="L631" s="27" t="n">
        <v>44</v>
      </c>
      <c r="M631" s="27" t="n">
        <v>22120</v>
      </c>
      <c r="N631" s="30" t="n">
        <v>36.78</v>
      </c>
      <c r="O631" s="30" t="n">
        <v>10.41</v>
      </c>
      <c r="P631" s="29" t="n">
        <v>0.0097</v>
      </c>
      <c r="Q631" s="27" t="n">
        <v>570000</v>
      </c>
      <c r="R631" s="27" t="n">
        <v>194418</v>
      </c>
      <c r="S631" s="27" t="n">
        <v>262200</v>
      </c>
      <c r="T631" s="29" t="n">
        <v>0.842</v>
      </c>
      <c r="U631" s="29" t="n">
        <v>0.328</v>
      </c>
      <c r="V631" s="29" t="n">
        <v>0.839</v>
      </c>
      <c r="W631" s="28" t="n">
        <v>12.2</v>
      </c>
    </row>
    <row r="632" customFormat="false" ht="15" hidden="false" customHeight="false" outlineLevel="0" collapsed="false">
      <c r="A632" s="25" t="s">
        <v>864</v>
      </c>
      <c r="B632" s="25" t="s">
        <v>386</v>
      </c>
      <c r="C632" s="26" t="n">
        <v>46143</v>
      </c>
      <c r="D632" s="27" t="n">
        <v>60319</v>
      </c>
      <c r="E632" s="28" t="n">
        <v>704.8</v>
      </c>
      <c r="F632" s="29" t="n">
        <v>0.0531</v>
      </c>
      <c r="G632" s="29" t="n">
        <v>0.1636</v>
      </c>
      <c r="H632" s="30" t="n">
        <v>12.53</v>
      </c>
      <c r="I632" s="29" t="n">
        <v>0.0337</v>
      </c>
      <c r="J632" s="29" t="n">
        <v>0.0272</v>
      </c>
      <c r="K632" s="29" t="n">
        <v>0.0628</v>
      </c>
      <c r="L632" s="27" t="n">
        <v>47</v>
      </c>
      <c r="M632" s="27" t="n">
        <v>22140</v>
      </c>
      <c r="N632" s="30" t="n">
        <v>36.75</v>
      </c>
      <c r="O632" s="30" t="n">
        <v>10.53</v>
      </c>
      <c r="P632" s="29" t="n">
        <v>0.0101</v>
      </c>
      <c r="Q632" s="27" t="n">
        <v>570000</v>
      </c>
      <c r="R632" s="27" t="n">
        <v>201978</v>
      </c>
      <c r="S632" s="27" t="n">
        <v>292940</v>
      </c>
      <c r="T632" s="29" t="n">
        <v>0.824</v>
      </c>
      <c r="U632" s="29" t="n">
        <v>0.329</v>
      </c>
      <c r="V632" s="29" t="n">
        <v>0.834</v>
      </c>
      <c r="W632" s="28" t="n">
        <v>13.1</v>
      </c>
    </row>
    <row r="633" customFormat="false" ht="15" hidden="false" customHeight="false" outlineLevel="0" collapsed="false">
      <c r="A633" s="25" t="s">
        <v>865</v>
      </c>
      <c r="B633" s="25" t="s">
        <v>386</v>
      </c>
      <c r="C633" s="26" t="n">
        <v>46174</v>
      </c>
      <c r="D633" s="27" t="n">
        <v>55398</v>
      </c>
      <c r="E633" s="28" t="n">
        <v>694.3</v>
      </c>
      <c r="F633" s="29" t="n">
        <v>0.0491</v>
      </c>
      <c r="G633" s="29" t="n">
        <v>0.1678</v>
      </c>
      <c r="H633" s="30" t="n">
        <v>12.45</v>
      </c>
      <c r="I633" s="29" t="n">
        <v>0.0321</v>
      </c>
      <c r="J633" s="29" t="n">
        <v>0.0288</v>
      </c>
      <c r="K633" s="29" t="n">
        <v>0.0596</v>
      </c>
      <c r="L633" s="27" t="n">
        <v>46</v>
      </c>
      <c r="M633" s="27" t="n">
        <v>22160</v>
      </c>
      <c r="N633" s="30" t="n">
        <v>37.79</v>
      </c>
      <c r="O633" s="30" t="n">
        <v>10.62</v>
      </c>
      <c r="P633" s="29" t="n">
        <v>0.0101</v>
      </c>
      <c r="Q633" s="27" t="n">
        <v>570000</v>
      </c>
      <c r="R633" s="27" t="n">
        <v>179869</v>
      </c>
      <c r="S633" s="27" t="n">
        <v>265978</v>
      </c>
      <c r="T633" s="29" t="n">
        <v>0.848</v>
      </c>
      <c r="U633" s="29" t="n">
        <v>0.31</v>
      </c>
      <c r="V633" s="29" t="n">
        <v>0.822</v>
      </c>
      <c r="W633" s="28" t="n">
        <v>13.6</v>
      </c>
    </row>
    <row r="634" customFormat="false" ht="15" hidden="false" customHeight="false" outlineLevel="0" collapsed="false">
      <c r="A634" s="25" t="s">
        <v>866</v>
      </c>
      <c r="B634" s="25" t="s">
        <v>386</v>
      </c>
      <c r="C634" s="26" t="n">
        <v>46204</v>
      </c>
      <c r="D634" s="27" t="n">
        <v>51387</v>
      </c>
      <c r="E634" s="28" t="n">
        <v>689.2</v>
      </c>
      <c r="F634" s="29" t="n">
        <v>0.0493</v>
      </c>
      <c r="G634" s="29" t="n">
        <v>0.1713</v>
      </c>
      <c r="H634" s="30" t="n">
        <v>12.97</v>
      </c>
      <c r="I634" s="29" t="n">
        <v>0.0337</v>
      </c>
      <c r="J634" s="29" t="n">
        <v>0.0287</v>
      </c>
      <c r="K634" s="29" t="n">
        <v>0.0496</v>
      </c>
      <c r="L634" s="27" t="n">
        <v>41</v>
      </c>
      <c r="M634" s="27" t="n">
        <v>22180</v>
      </c>
      <c r="N634" s="30" t="n">
        <v>36.69</v>
      </c>
      <c r="O634" s="30" t="n">
        <v>10.58</v>
      </c>
      <c r="P634" s="29" t="n">
        <v>0.01</v>
      </c>
      <c r="Q634" s="27" t="n">
        <v>570000</v>
      </c>
      <c r="R634" s="27" t="n">
        <v>189300</v>
      </c>
      <c r="S634" s="27" t="n">
        <v>216827</v>
      </c>
      <c r="T634" s="29" t="n">
        <v>0.85</v>
      </c>
      <c r="U634" s="29" t="n">
        <v>0.301</v>
      </c>
      <c r="V634" s="29" t="n">
        <v>0.843</v>
      </c>
      <c r="W634" s="28" t="n">
        <v>12.4</v>
      </c>
    </row>
    <row r="635" customFormat="false" ht="15" hidden="false" customHeight="false" outlineLevel="0" collapsed="false">
      <c r="A635" s="25" t="s">
        <v>867</v>
      </c>
      <c r="B635" s="25" t="s">
        <v>386</v>
      </c>
      <c r="C635" s="26" t="n">
        <v>46235</v>
      </c>
      <c r="D635" s="27" t="n">
        <v>56393</v>
      </c>
      <c r="E635" s="28" t="n">
        <v>684.6</v>
      </c>
      <c r="F635" s="29" t="n">
        <v>0.0484</v>
      </c>
      <c r="G635" s="29" t="n">
        <v>0.167</v>
      </c>
      <c r="H635" s="30" t="n">
        <v>12.46</v>
      </c>
      <c r="I635" s="29" t="n">
        <v>0.0325</v>
      </c>
      <c r="J635" s="29" t="n">
        <v>0.029</v>
      </c>
      <c r="K635" s="29" t="n">
        <v>0.0675</v>
      </c>
      <c r="L635" s="27" t="n">
        <v>45</v>
      </c>
      <c r="M635" s="27" t="n">
        <v>22200</v>
      </c>
      <c r="N635" s="30" t="n">
        <v>36.65</v>
      </c>
      <c r="O635" s="30" t="n">
        <v>10.25</v>
      </c>
      <c r="P635" s="29" t="n">
        <v>0.0095</v>
      </c>
      <c r="Q635" s="27" t="n">
        <v>570000</v>
      </c>
      <c r="R635" s="27" t="n">
        <v>180844</v>
      </c>
      <c r="S635" s="27" t="n">
        <v>252213</v>
      </c>
      <c r="T635" s="29" t="n">
        <v>0.806</v>
      </c>
      <c r="U635" s="29" t="n">
        <v>0.32</v>
      </c>
      <c r="V635" s="29" t="n">
        <v>0.809</v>
      </c>
      <c r="W635" s="28" t="n">
        <v>13.3</v>
      </c>
    </row>
    <row r="636" customFormat="false" ht="15" hidden="false" customHeight="false" outlineLevel="0" collapsed="false">
      <c r="A636" s="25" t="s">
        <v>868</v>
      </c>
      <c r="B636" s="25" t="s">
        <v>386</v>
      </c>
      <c r="C636" s="26" t="n">
        <v>46266</v>
      </c>
      <c r="D636" s="27" t="n">
        <v>50275</v>
      </c>
      <c r="E636" s="28" t="n">
        <v>692.4</v>
      </c>
      <c r="F636" s="29" t="n">
        <v>0.0524</v>
      </c>
      <c r="G636" s="29" t="n">
        <v>0.1669</v>
      </c>
      <c r="H636" s="30" t="n">
        <v>13.5</v>
      </c>
      <c r="I636" s="29" t="n">
        <v>0.0338</v>
      </c>
      <c r="J636" s="29" t="n">
        <v>0.0287</v>
      </c>
      <c r="K636" s="29" t="n">
        <v>0.0653</v>
      </c>
      <c r="L636" s="27" t="n">
        <v>41</v>
      </c>
      <c r="M636" s="27" t="n">
        <v>22220</v>
      </c>
      <c r="N636" s="30" t="n">
        <v>37.09</v>
      </c>
      <c r="O636" s="30" t="n">
        <v>10.63</v>
      </c>
      <c r="P636" s="29" t="n">
        <v>0.0097</v>
      </c>
      <c r="Q636" s="27" t="n">
        <v>570000</v>
      </c>
      <c r="R636" s="27" t="n">
        <v>189345</v>
      </c>
      <c r="S636" s="27" t="n">
        <v>213227</v>
      </c>
      <c r="T636" s="29" t="n">
        <v>0.832</v>
      </c>
      <c r="U636" s="29" t="n">
        <v>0.319</v>
      </c>
      <c r="V636" s="29" t="n">
        <v>0.806</v>
      </c>
      <c r="W636" s="28" t="n">
        <v>13.6</v>
      </c>
    </row>
    <row r="637" customFormat="false" ht="15" hidden="false" customHeight="false" outlineLevel="0" collapsed="false">
      <c r="A637" s="25" t="s">
        <v>869</v>
      </c>
      <c r="B637" s="25" t="s">
        <v>392</v>
      </c>
      <c r="C637" s="26" t="n">
        <v>45931</v>
      </c>
      <c r="D637" s="27" t="n">
        <v>33137</v>
      </c>
      <c r="E637" s="28" t="n">
        <v>721</v>
      </c>
      <c r="F637" s="29" t="n">
        <v>0.0696</v>
      </c>
      <c r="G637" s="29" t="n">
        <v>0.1707</v>
      </c>
      <c r="H637" s="30" t="n">
        <v>11.66</v>
      </c>
      <c r="I637" s="29" t="n">
        <v>0.03</v>
      </c>
      <c r="J637" s="29" t="n">
        <v>0.0165</v>
      </c>
      <c r="K637" s="29" t="n">
        <v>0.0293</v>
      </c>
      <c r="L637" s="27" t="n">
        <v>23</v>
      </c>
      <c r="M637" s="27" t="n">
        <v>22000</v>
      </c>
      <c r="N637" s="30" t="n">
        <v>38.03</v>
      </c>
      <c r="O637" s="30" t="n">
        <v>10.75</v>
      </c>
      <c r="P637" s="29" t="n">
        <v>0.01</v>
      </c>
      <c r="Q637" s="27" t="n">
        <v>423000</v>
      </c>
      <c r="R637" s="27" t="n">
        <v>138356</v>
      </c>
      <c r="S637" s="27" t="n">
        <v>179695</v>
      </c>
      <c r="T637" s="29" t="n">
        <v>0.702</v>
      </c>
      <c r="U637" s="29" t="n">
        <v>0.225</v>
      </c>
      <c r="V637" s="29" t="n">
        <v>0.895</v>
      </c>
      <c r="W637" s="28" t="n">
        <v>11.9</v>
      </c>
    </row>
    <row r="638" customFormat="false" ht="15" hidden="false" customHeight="false" outlineLevel="0" collapsed="false">
      <c r="A638" s="25" t="s">
        <v>870</v>
      </c>
      <c r="B638" s="25" t="s">
        <v>392</v>
      </c>
      <c r="C638" s="26" t="n">
        <v>45962</v>
      </c>
      <c r="D638" s="27" t="n">
        <v>33066</v>
      </c>
      <c r="E638" s="28" t="n">
        <v>733.4</v>
      </c>
      <c r="F638" s="29" t="n">
        <v>0.0698</v>
      </c>
      <c r="G638" s="29" t="n">
        <v>0.1727</v>
      </c>
      <c r="H638" s="30" t="n">
        <v>11.23</v>
      </c>
      <c r="I638" s="29" t="n">
        <v>0.0283</v>
      </c>
      <c r="J638" s="29" t="n">
        <v>0.0168</v>
      </c>
      <c r="K638" s="29" t="n">
        <v>0.0271</v>
      </c>
      <c r="L638" s="27" t="n">
        <v>24</v>
      </c>
      <c r="M638" s="27" t="n">
        <v>22020</v>
      </c>
      <c r="N638" s="30" t="n">
        <v>36.6</v>
      </c>
      <c r="O638" s="30" t="n">
        <v>10.86</v>
      </c>
      <c r="P638" s="29" t="n">
        <v>0.0097</v>
      </c>
      <c r="Q638" s="27" t="n">
        <v>423000</v>
      </c>
      <c r="R638" s="27" t="n">
        <v>147982</v>
      </c>
      <c r="S638" s="27" t="n">
        <v>155151</v>
      </c>
      <c r="T638" s="29" t="n">
        <v>0.705</v>
      </c>
      <c r="U638" s="29" t="n">
        <v>0.225</v>
      </c>
      <c r="V638" s="29" t="n">
        <v>0.886</v>
      </c>
      <c r="W638" s="28" t="n">
        <v>11.4</v>
      </c>
    </row>
    <row r="639" customFormat="false" ht="15" hidden="false" customHeight="false" outlineLevel="0" collapsed="false">
      <c r="A639" s="25" t="s">
        <v>871</v>
      </c>
      <c r="B639" s="25" t="s">
        <v>392</v>
      </c>
      <c r="C639" s="26" t="n">
        <v>45992</v>
      </c>
      <c r="D639" s="27" t="n">
        <v>35156</v>
      </c>
      <c r="E639" s="28" t="n">
        <v>734</v>
      </c>
      <c r="F639" s="29" t="n">
        <v>0.0684</v>
      </c>
      <c r="G639" s="29" t="n">
        <v>0.1711</v>
      </c>
      <c r="H639" s="30" t="n">
        <v>11.87</v>
      </c>
      <c r="I639" s="29" t="n">
        <v>0.0292</v>
      </c>
      <c r="J639" s="29" t="n">
        <v>0.0162</v>
      </c>
      <c r="K639" s="29" t="n">
        <v>0.0288</v>
      </c>
      <c r="L639" s="27" t="n">
        <v>24</v>
      </c>
      <c r="M639" s="27" t="n">
        <v>22040</v>
      </c>
      <c r="N639" s="30" t="n">
        <v>38.2</v>
      </c>
      <c r="O639" s="30" t="n">
        <v>11.09</v>
      </c>
      <c r="P639" s="29" t="n">
        <v>0.0098</v>
      </c>
      <c r="Q639" s="27" t="n">
        <v>423000</v>
      </c>
      <c r="R639" s="27" t="n">
        <v>131906</v>
      </c>
      <c r="S639" s="27" t="n">
        <v>161977</v>
      </c>
      <c r="T639" s="29" t="n">
        <v>0.691</v>
      </c>
      <c r="U639" s="29" t="n">
        <v>0.242</v>
      </c>
      <c r="V639" s="29" t="n">
        <v>0.871</v>
      </c>
      <c r="W639" s="28" t="n">
        <v>11</v>
      </c>
    </row>
    <row r="640" customFormat="false" ht="15" hidden="false" customHeight="false" outlineLevel="0" collapsed="false">
      <c r="A640" s="25" t="s">
        <v>872</v>
      </c>
      <c r="B640" s="25" t="s">
        <v>392</v>
      </c>
      <c r="C640" s="26" t="n">
        <v>46023</v>
      </c>
      <c r="D640" s="27" t="n">
        <v>32043</v>
      </c>
      <c r="E640" s="28" t="n">
        <v>726.6</v>
      </c>
      <c r="F640" s="29" t="n">
        <v>0.0674</v>
      </c>
      <c r="G640" s="29" t="n">
        <v>0.1707</v>
      </c>
      <c r="H640" s="30" t="n">
        <v>11.82</v>
      </c>
      <c r="I640" s="29" t="n">
        <v>0.0279</v>
      </c>
      <c r="J640" s="29" t="n">
        <v>0.0162</v>
      </c>
      <c r="K640" s="29" t="n">
        <v>0.0302</v>
      </c>
      <c r="L640" s="27" t="n">
        <v>21</v>
      </c>
      <c r="M640" s="27" t="n">
        <v>22060</v>
      </c>
      <c r="N640" s="30" t="n">
        <v>37</v>
      </c>
      <c r="O640" s="30" t="n">
        <v>10.45</v>
      </c>
      <c r="P640" s="29" t="n">
        <v>0.0098</v>
      </c>
      <c r="Q640" s="27" t="n">
        <v>423000</v>
      </c>
      <c r="R640" s="27" t="n">
        <v>143892</v>
      </c>
      <c r="S640" s="27" t="n">
        <v>149900</v>
      </c>
      <c r="T640" s="29" t="n">
        <v>0.723</v>
      </c>
      <c r="U640" s="29" t="n">
        <v>0.218</v>
      </c>
      <c r="V640" s="29" t="n">
        <v>0.896</v>
      </c>
      <c r="W640" s="28" t="n">
        <v>11.4</v>
      </c>
    </row>
    <row r="641" customFormat="false" ht="15" hidden="false" customHeight="false" outlineLevel="0" collapsed="false">
      <c r="A641" s="25" t="s">
        <v>873</v>
      </c>
      <c r="B641" s="25" t="s">
        <v>392</v>
      </c>
      <c r="C641" s="26" t="n">
        <v>46054</v>
      </c>
      <c r="D641" s="27" t="n">
        <v>30442</v>
      </c>
      <c r="E641" s="28" t="n">
        <v>705.3</v>
      </c>
      <c r="F641" s="29" t="n">
        <v>0.0699</v>
      </c>
      <c r="G641" s="29" t="n">
        <v>0.1727</v>
      </c>
      <c r="H641" s="30" t="n">
        <v>10.96</v>
      </c>
      <c r="I641" s="29" t="n">
        <v>0.0289</v>
      </c>
      <c r="J641" s="29" t="n">
        <v>0.0157</v>
      </c>
      <c r="K641" s="29" t="n">
        <v>0.0222</v>
      </c>
      <c r="L641" s="27" t="n">
        <v>23</v>
      </c>
      <c r="M641" s="27" t="n">
        <v>22080</v>
      </c>
      <c r="N641" s="30" t="n">
        <v>36.73</v>
      </c>
      <c r="O641" s="30" t="n">
        <v>10.65</v>
      </c>
      <c r="P641" s="29" t="n">
        <v>0.0098</v>
      </c>
      <c r="Q641" s="27" t="n">
        <v>423000</v>
      </c>
      <c r="R641" s="27" t="n">
        <v>145487</v>
      </c>
      <c r="S641" s="27" t="n">
        <v>143323</v>
      </c>
      <c r="T641" s="29" t="n">
        <v>0.732</v>
      </c>
      <c r="U641" s="29" t="n">
        <v>0.211</v>
      </c>
      <c r="V641" s="29" t="n">
        <v>0.89</v>
      </c>
      <c r="W641" s="28" t="n">
        <v>12</v>
      </c>
    </row>
    <row r="642" customFormat="false" ht="15" hidden="false" customHeight="false" outlineLevel="0" collapsed="false">
      <c r="A642" s="25" t="s">
        <v>874</v>
      </c>
      <c r="B642" s="25" t="s">
        <v>392</v>
      </c>
      <c r="C642" s="26" t="n">
        <v>46082</v>
      </c>
      <c r="D642" s="27" t="n">
        <v>32546</v>
      </c>
      <c r="E642" s="28" t="n">
        <v>749</v>
      </c>
      <c r="F642" s="29" t="n">
        <v>0.0665</v>
      </c>
      <c r="G642" s="29" t="n">
        <v>0.1763</v>
      </c>
      <c r="H642" s="30" t="n">
        <v>11.98</v>
      </c>
      <c r="I642" s="29" t="n">
        <v>0.0291</v>
      </c>
      <c r="J642" s="29" t="n">
        <v>0.0171</v>
      </c>
      <c r="K642" s="29" t="n">
        <v>0.0242</v>
      </c>
      <c r="L642" s="27" t="n">
        <v>20</v>
      </c>
      <c r="M642" s="27" t="n">
        <v>22100</v>
      </c>
      <c r="N642" s="30" t="n">
        <v>38.56</v>
      </c>
      <c r="O642" s="30" t="n">
        <v>10.69</v>
      </c>
      <c r="P642" s="29" t="n">
        <v>0.0107</v>
      </c>
      <c r="Q642" s="27" t="n">
        <v>423000</v>
      </c>
      <c r="R642" s="27" t="n">
        <v>135374</v>
      </c>
      <c r="S642" s="27" t="n">
        <v>165533</v>
      </c>
      <c r="T642" s="29" t="n">
        <v>0.674</v>
      </c>
      <c r="U642" s="29" t="n">
        <v>0.238</v>
      </c>
      <c r="V642" s="29" t="n">
        <v>0.883</v>
      </c>
      <c r="W642" s="28" t="n">
        <v>12</v>
      </c>
    </row>
    <row r="643" customFormat="false" ht="15" hidden="false" customHeight="false" outlineLevel="0" collapsed="false">
      <c r="A643" s="25" t="s">
        <v>875</v>
      </c>
      <c r="B643" s="25" t="s">
        <v>392</v>
      </c>
      <c r="C643" s="26" t="n">
        <v>46113</v>
      </c>
      <c r="D643" s="27" t="n">
        <v>33484</v>
      </c>
      <c r="E643" s="28" t="n">
        <v>735.2</v>
      </c>
      <c r="F643" s="29" t="n">
        <v>0.0671</v>
      </c>
      <c r="G643" s="29" t="n">
        <v>0.1768</v>
      </c>
      <c r="H643" s="30" t="n">
        <v>11.76</v>
      </c>
      <c r="I643" s="29" t="n">
        <v>0.0295</v>
      </c>
      <c r="J643" s="29" t="n">
        <v>0.0178</v>
      </c>
      <c r="K643" s="29" t="n">
        <v>0.0248</v>
      </c>
      <c r="L643" s="27" t="n">
        <v>25</v>
      </c>
      <c r="M643" s="27" t="n">
        <v>22120</v>
      </c>
      <c r="N643" s="30" t="n">
        <v>38.1</v>
      </c>
      <c r="O643" s="30" t="n">
        <v>10.48</v>
      </c>
      <c r="P643" s="29" t="n">
        <v>0.0107</v>
      </c>
      <c r="Q643" s="27" t="n">
        <v>423000</v>
      </c>
      <c r="R643" s="27" t="n">
        <v>138321</v>
      </c>
      <c r="S643" s="27" t="n">
        <v>166706</v>
      </c>
      <c r="T643" s="29" t="n">
        <v>0.711</v>
      </c>
      <c r="U643" s="29" t="n">
        <v>0.23</v>
      </c>
      <c r="V643" s="29" t="n">
        <v>0.873</v>
      </c>
      <c r="W643" s="28" t="n">
        <v>11.9</v>
      </c>
    </row>
    <row r="644" customFormat="false" ht="15" hidden="false" customHeight="false" outlineLevel="0" collapsed="false">
      <c r="A644" s="25" t="s">
        <v>876</v>
      </c>
      <c r="B644" s="25" t="s">
        <v>392</v>
      </c>
      <c r="C644" s="26" t="n">
        <v>46143</v>
      </c>
      <c r="D644" s="27" t="n">
        <v>35118</v>
      </c>
      <c r="E644" s="28" t="n">
        <v>720.1</v>
      </c>
      <c r="F644" s="29" t="n">
        <v>0.0691</v>
      </c>
      <c r="G644" s="29" t="n">
        <v>0.1721</v>
      </c>
      <c r="H644" s="30" t="n">
        <v>11.37</v>
      </c>
      <c r="I644" s="29" t="n">
        <v>0.0294</v>
      </c>
      <c r="J644" s="29" t="n">
        <v>0.0173</v>
      </c>
      <c r="K644" s="29" t="n">
        <v>0.0335</v>
      </c>
      <c r="L644" s="27" t="n">
        <v>26</v>
      </c>
      <c r="M644" s="27" t="n">
        <v>22140</v>
      </c>
      <c r="N644" s="30" t="n">
        <v>37.32</v>
      </c>
      <c r="O644" s="30" t="n">
        <v>10.77</v>
      </c>
      <c r="P644" s="29" t="n">
        <v>0.0098</v>
      </c>
      <c r="Q644" s="27" t="n">
        <v>423000</v>
      </c>
      <c r="R644" s="27" t="n">
        <v>132536</v>
      </c>
      <c r="S644" s="27" t="n">
        <v>180344</v>
      </c>
      <c r="T644" s="29" t="n">
        <v>0.701</v>
      </c>
      <c r="U644" s="29" t="n">
        <v>0.212</v>
      </c>
      <c r="V644" s="29" t="n">
        <v>0.879</v>
      </c>
      <c r="W644" s="28" t="n">
        <v>11.6</v>
      </c>
    </row>
    <row r="645" customFormat="false" ht="15" hidden="false" customHeight="false" outlineLevel="0" collapsed="false">
      <c r="A645" s="25" t="s">
        <v>877</v>
      </c>
      <c r="B645" s="25" t="s">
        <v>392</v>
      </c>
      <c r="C645" s="26" t="n">
        <v>46174</v>
      </c>
      <c r="D645" s="27" t="n">
        <v>32751</v>
      </c>
      <c r="E645" s="28" t="n">
        <v>725.5</v>
      </c>
      <c r="F645" s="29" t="n">
        <v>0.0666</v>
      </c>
      <c r="G645" s="29" t="n">
        <v>0.1687</v>
      </c>
      <c r="H645" s="30" t="n">
        <v>11.72</v>
      </c>
      <c r="I645" s="29" t="n">
        <v>0.0292</v>
      </c>
      <c r="J645" s="29" t="n">
        <v>0.0168</v>
      </c>
      <c r="K645" s="29" t="n">
        <v>0.0275</v>
      </c>
      <c r="L645" s="27" t="n">
        <v>23</v>
      </c>
      <c r="M645" s="27" t="n">
        <v>22160</v>
      </c>
      <c r="N645" s="30" t="n">
        <v>37.32</v>
      </c>
      <c r="O645" s="30" t="n">
        <v>10.64</v>
      </c>
      <c r="P645" s="29" t="n">
        <v>0.0107</v>
      </c>
      <c r="Q645" s="27" t="n">
        <v>423000</v>
      </c>
      <c r="R645" s="27" t="n">
        <v>138842</v>
      </c>
      <c r="S645" s="27" t="n">
        <v>165579</v>
      </c>
      <c r="T645" s="29" t="n">
        <v>0.714</v>
      </c>
      <c r="U645" s="29" t="n">
        <v>0.211</v>
      </c>
      <c r="V645" s="29" t="n">
        <v>0.856</v>
      </c>
      <c r="W645" s="28" t="n">
        <v>12.5</v>
      </c>
    </row>
    <row r="646" customFormat="false" ht="15" hidden="false" customHeight="false" outlineLevel="0" collapsed="false">
      <c r="A646" s="25" t="s">
        <v>878</v>
      </c>
      <c r="B646" s="25" t="s">
        <v>392</v>
      </c>
      <c r="C646" s="26" t="n">
        <v>46204</v>
      </c>
      <c r="D646" s="27" t="n">
        <v>35492</v>
      </c>
      <c r="E646" s="28" t="n">
        <v>718.5</v>
      </c>
      <c r="F646" s="29" t="n">
        <v>0.067</v>
      </c>
      <c r="G646" s="29" t="n">
        <v>0.1712</v>
      </c>
      <c r="H646" s="30" t="n">
        <v>11.98</v>
      </c>
      <c r="I646" s="29" t="n">
        <v>0.0295</v>
      </c>
      <c r="J646" s="29" t="n">
        <v>0.0158</v>
      </c>
      <c r="K646" s="29" t="n">
        <v>0.0305</v>
      </c>
      <c r="L646" s="27" t="n">
        <v>23</v>
      </c>
      <c r="M646" s="27" t="n">
        <v>22180</v>
      </c>
      <c r="N646" s="30" t="n">
        <v>36.73</v>
      </c>
      <c r="O646" s="30" t="n">
        <v>10.78</v>
      </c>
      <c r="P646" s="29" t="n">
        <v>0.0097</v>
      </c>
      <c r="Q646" s="27" t="n">
        <v>423000</v>
      </c>
      <c r="R646" s="27" t="n">
        <v>150942</v>
      </c>
      <c r="S646" s="27" t="n">
        <v>159170</v>
      </c>
      <c r="T646" s="29" t="n">
        <v>0.709</v>
      </c>
      <c r="U646" s="29" t="n">
        <v>0.23</v>
      </c>
      <c r="V646" s="29" t="n">
        <v>0.874</v>
      </c>
      <c r="W646" s="28" t="n">
        <v>12.5</v>
      </c>
    </row>
    <row r="647" customFormat="false" ht="15" hidden="false" customHeight="false" outlineLevel="0" collapsed="false">
      <c r="A647" s="25" t="s">
        <v>879</v>
      </c>
      <c r="B647" s="25" t="s">
        <v>392</v>
      </c>
      <c r="C647" s="26" t="n">
        <v>46235</v>
      </c>
      <c r="D647" s="27" t="n">
        <v>35803</v>
      </c>
      <c r="E647" s="28" t="n">
        <v>722.2</v>
      </c>
      <c r="F647" s="29" t="n">
        <v>0.0684</v>
      </c>
      <c r="G647" s="29" t="n">
        <v>0.1715</v>
      </c>
      <c r="H647" s="30" t="n">
        <v>11.48</v>
      </c>
      <c r="I647" s="29" t="n">
        <v>0.0306</v>
      </c>
      <c r="J647" s="29" t="n">
        <v>0.016</v>
      </c>
      <c r="K647" s="29" t="n">
        <v>0.0371</v>
      </c>
      <c r="L647" s="27" t="n">
        <v>24</v>
      </c>
      <c r="M647" s="27" t="n">
        <v>22200</v>
      </c>
      <c r="N647" s="30" t="n">
        <v>37.5</v>
      </c>
      <c r="O647" s="30" t="n">
        <v>10.71</v>
      </c>
      <c r="P647" s="29" t="n">
        <v>0.0099</v>
      </c>
      <c r="Q647" s="27" t="n">
        <v>423000</v>
      </c>
      <c r="R647" s="27" t="n">
        <v>142236</v>
      </c>
      <c r="S647" s="27" t="n">
        <v>158936</v>
      </c>
      <c r="T647" s="29" t="n">
        <v>0.683</v>
      </c>
      <c r="U647" s="29" t="n">
        <v>0.207</v>
      </c>
      <c r="V647" s="29" t="n">
        <v>0.878</v>
      </c>
      <c r="W647" s="28" t="n">
        <v>11.3</v>
      </c>
    </row>
    <row r="648" customFormat="false" ht="15" hidden="false" customHeight="false" outlineLevel="0" collapsed="false">
      <c r="A648" s="25" t="s">
        <v>880</v>
      </c>
      <c r="B648" s="25" t="s">
        <v>392</v>
      </c>
      <c r="C648" s="26" t="n">
        <v>46266</v>
      </c>
      <c r="D648" s="27" t="n">
        <v>33590</v>
      </c>
      <c r="E648" s="28" t="n">
        <v>734.2</v>
      </c>
      <c r="F648" s="29" t="n">
        <v>0.0715</v>
      </c>
      <c r="G648" s="29" t="n">
        <v>0.1738</v>
      </c>
      <c r="H648" s="30" t="n">
        <v>11.64</v>
      </c>
      <c r="I648" s="29" t="n">
        <v>0.0298</v>
      </c>
      <c r="J648" s="29" t="n">
        <v>0.017</v>
      </c>
      <c r="K648" s="29" t="n">
        <v>0.0271</v>
      </c>
      <c r="L648" s="27" t="n">
        <v>24</v>
      </c>
      <c r="M648" s="27" t="n">
        <v>22220</v>
      </c>
      <c r="N648" s="30" t="n">
        <v>38.02</v>
      </c>
      <c r="O648" s="30" t="n">
        <v>10.79</v>
      </c>
      <c r="P648" s="29" t="n">
        <v>0.01</v>
      </c>
      <c r="Q648" s="27" t="n">
        <v>423000</v>
      </c>
      <c r="R648" s="27" t="n">
        <v>143606</v>
      </c>
      <c r="S648" s="27" t="n">
        <v>153492</v>
      </c>
      <c r="T648" s="29" t="n">
        <v>0.709</v>
      </c>
      <c r="U648" s="29" t="n">
        <v>0.21</v>
      </c>
      <c r="V648" s="29" t="n">
        <v>0.882</v>
      </c>
      <c r="W648" s="28" t="n">
        <v>11.8</v>
      </c>
    </row>
    <row r="649" customFormat="false" ht="15" hidden="false" customHeight="false" outlineLevel="0" collapsed="false">
      <c r="A649" s="25" t="s">
        <v>881</v>
      </c>
      <c r="B649" s="25" t="s">
        <v>390</v>
      </c>
      <c r="C649" s="26" t="n">
        <v>45931</v>
      </c>
      <c r="D649" s="27" t="n">
        <v>3417</v>
      </c>
      <c r="E649" s="28" t="n">
        <v>678.8</v>
      </c>
      <c r="F649" s="29" t="n">
        <v>0.0799</v>
      </c>
      <c r="G649" s="29" t="n">
        <v>0.1661</v>
      </c>
      <c r="H649" s="30" t="n">
        <v>12.32</v>
      </c>
      <c r="I649" s="29" t="n">
        <v>0.0171</v>
      </c>
      <c r="J649" s="29" t="n">
        <v>0.0359</v>
      </c>
      <c r="K649" s="29" t="n">
        <v>0.0246</v>
      </c>
      <c r="L649" s="27" t="n">
        <v>16</v>
      </c>
      <c r="M649" s="27" t="n">
        <v>22000</v>
      </c>
      <c r="N649" s="30" t="n">
        <v>48.37</v>
      </c>
      <c r="O649" s="30" t="n">
        <v>10.47</v>
      </c>
      <c r="P649" s="29" t="n">
        <v>0.0096</v>
      </c>
      <c r="Q649" s="27" t="n">
        <v>735000</v>
      </c>
      <c r="R649" s="27" t="n">
        <v>185030</v>
      </c>
      <c r="S649" s="27" t="n">
        <v>73014</v>
      </c>
      <c r="T649" s="29" t="n">
        <v>0.56</v>
      </c>
      <c r="U649" s="29" t="n">
        <v>0.271</v>
      </c>
      <c r="V649" s="29" t="n">
        <v>0.877</v>
      </c>
      <c r="W649" s="28" t="n">
        <v>11.9</v>
      </c>
    </row>
    <row r="650" customFormat="false" ht="15" hidden="false" customHeight="false" outlineLevel="0" collapsed="false">
      <c r="A650" s="25" t="s">
        <v>882</v>
      </c>
      <c r="B650" s="25" t="s">
        <v>390</v>
      </c>
      <c r="C650" s="26" t="n">
        <v>45962</v>
      </c>
      <c r="D650" s="27" t="n">
        <v>3042</v>
      </c>
      <c r="E650" s="28" t="n">
        <v>663.5</v>
      </c>
      <c r="F650" s="29" t="n">
        <v>0.0792</v>
      </c>
      <c r="G650" s="29" t="n">
        <v>0.1676</v>
      </c>
      <c r="H650" s="30" t="n">
        <v>12.19</v>
      </c>
      <c r="I650" s="29" t="n">
        <v>0.0187</v>
      </c>
      <c r="J650" s="29" t="n">
        <v>0.0349</v>
      </c>
      <c r="K650" s="29" t="n">
        <v>0.0201</v>
      </c>
      <c r="L650" s="27" t="n">
        <v>16</v>
      </c>
      <c r="M650" s="27" t="n">
        <v>22020</v>
      </c>
      <c r="N650" s="30" t="n">
        <v>48.88</v>
      </c>
      <c r="O650" s="30" t="n">
        <v>10.1</v>
      </c>
      <c r="P650" s="29" t="n">
        <v>0.01</v>
      </c>
      <c r="Q650" s="27" t="n">
        <v>735000</v>
      </c>
      <c r="R650" s="27" t="n">
        <v>185572</v>
      </c>
      <c r="S650" s="27" t="n">
        <v>61736</v>
      </c>
      <c r="T650" s="29" t="n">
        <v>0.58</v>
      </c>
      <c r="U650" s="29" t="n">
        <v>0.282</v>
      </c>
      <c r="V650" s="29" t="n">
        <v>0.896</v>
      </c>
      <c r="W650" s="28" t="n">
        <v>11.4</v>
      </c>
    </row>
    <row r="651" customFormat="false" ht="15" hidden="false" customHeight="false" outlineLevel="0" collapsed="false">
      <c r="A651" s="25" t="s">
        <v>883</v>
      </c>
      <c r="B651" s="25" t="s">
        <v>390</v>
      </c>
      <c r="C651" s="26" t="n">
        <v>45992</v>
      </c>
      <c r="D651" s="27" t="n">
        <v>3136</v>
      </c>
      <c r="E651" s="28" t="n">
        <v>667.6</v>
      </c>
      <c r="F651" s="29" t="n">
        <v>0.0766</v>
      </c>
      <c r="G651" s="29" t="n">
        <v>0.1665</v>
      </c>
      <c r="H651" s="30" t="n">
        <v>12.54</v>
      </c>
      <c r="I651" s="29" t="n">
        <v>0.0169</v>
      </c>
      <c r="J651" s="29" t="n">
        <v>0.0358</v>
      </c>
      <c r="K651" s="29" t="n">
        <v>0.0306</v>
      </c>
      <c r="L651" s="27" t="n">
        <v>16</v>
      </c>
      <c r="M651" s="27" t="n">
        <v>22040</v>
      </c>
      <c r="N651" s="30" t="n">
        <v>48.54</v>
      </c>
      <c r="O651" s="30" t="n">
        <v>10.47</v>
      </c>
      <c r="P651" s="29" t="n">
        <v>0.0101</v>
      </c>
      <c r="Q651" s="27" t="n">
        <v>735000</v>
      </c>
      <c r="R651" s="27" t="n">
        <v>188173</v>
      </c>
      <c r="S651" s="27" t="n">
        <v>62711</v>
      </c>
      <c r="T651" s="29" t="n">
        <v>0.565</v>
      </c>
      <c r="U651" s="29" t="n">
        <v>0.291</v>
      </c>
      <c r="V651" s="29" t="n">
        <v>0.87</v>
      </c>
      <c r="W651" s="28" t="n">
        <v>12</v>
      </c>
    </row>
    <row r="652" customFormat="false" ht="15" hidden="false" customHeight="false" outlineLevel="0" collapsed="false">
      <c r="A652" s="25" t="s">
        <v>884</v>
      </c>
      <c r="B652" s="25" t="s">
        <v>390</v>
      </c>
      <c r="C652" s="26" t="n">
        <v>46023</v>
      </c>
      <c r="D652" s="27" t="n">
        <v>2948</v>
      </c>
      <c r="E652" s="28" t="n">
        <v>670.2</v>
      </c>
      <c r="F652" s="29" t="n">
        <v>0.0862</v>
      </c>
      <c r="G652" s="29" t="n">
        <v>0.1637</v>
      </c>
      <c r="H652" s="30" t="n">
        <v>12.9</v>
      </c>
      <c r="I652" s="29" t="n">
        <v>0.0166</v>
      </c>
      <c r="J652" s="29" t="n">
        <v>0.0346</v>
      </c>
      <c r="K652" s="29" t="n">
        <v>0.0303</v>
      </c>
      <c r="L652" s="27" t="n">
        <v>16</v>
      </c>
      <c r="M652" s="27" t="n">
        <v>22060</v>
      </c>
      <c r="N652" s="30" t="n">
        <v>47.72</v>
      </c>
      <c r="O652" s="30" t="n">
        <v>10.66</v>
      </c>
      <c r="P652" s="29" t="n">
        <v>0.0095</v>
      </c>
      <c r="Q652" s="27" t="n">
        <v>735000</v>
      </c>
      <c r="R652" s="27" t="n">
        <v>191166</v>
      </c>
      <c r="S652" s="27" t="n">
        <v>61752</v>
      </c>
      <c r="T652" s="29" t="n">
        <v>0.569</v>
      </c>
      <c r="U652" s="29" t="n">
        <v>0.271</v>
      </c>
      <c r="V652" s="29" t="n">
        <v>0.88</v>
      </c>
      <c r="W652" s="28" t="n">
        <v>11.8</v>
      </c>
    </row>
    <row r="653" customFormat="false" ht="15" hidden="false" customHeight="false" outlineLevel="0" collapsed="false">
      <c r="A653" s="25" t="s">
        <v>885</v>
      </c>
      <c r="B653" s="25" t="s">
        <v>390</v>
      </c>
      <c r="C653" s="26" t="n">
        <v>46054</v>
      </c>
      <c r="D653" s="27" t="n">
        <v>2714</v>
      </c>
      <c r="E653" s="28" t="n">
        <v>683.5</v>
      </c>
      <c r="F653" s="29" t="n">
        <v>0.0818</v>
      </c>
      <c r="G653" s="29" t="n">
        <v>0.1658</v>
      </c>
      <c r="H653" s="30" t="n">
        <v>12.42</v>
      </c>
      <c r="I653" s="29" t="n">
        <v>0.0174</v>
      </c>
      <c r="J653" s="29" t="n">
        <v>0.0363</v>
      </c>
      <c r="K653" s="29" t="n">
        <v>0.027</v>
      </c>
      <c r="L653" s="27" t="n">
        <v>16</v>
      </c>
      <c r="M653" s="27" t="n">
        <v>22080</v>
      </c>
      <c r="N653" s="30" t="n">
        <v>48.82</v>
      </c>
      <c r="O653" s="30" t="n">
        <v>10.7</v>
      </c>
      <c r="P653" s="29" t="n">
        <v>0.01</v>
      </c>
      <c r="Q653" s="27" t="n">
        <v>735000</v>
      </c>
      <c r="R653" s="27" t="n">
        <v>186711</v>
      </c>
      <c r="S653" s="27" t="n">
        <v>59022</v>
      </c>
      <c r="T653" s="29" t="n">
        <v>0.577</v>
      </c>
      <c r="U653" s="29" t="n">
        <v>0.284</v>
      </c>
      <c r="V653" s="29" t="n">
        <v>0.895</v>
      </c>
      <c r="W653" s="28" t="n">
        <v>11.4</v>
      </c>
    </row>
    <row r="654" customFormat="false" ht="15" hidden="false" customHeight="false" outlineLevel="0" collapsed="false">
      <c r="A654" s="25" t="s">
        <v>886</v>
      </c>
      <c r="B654" s="25" t="s">
        <v>390</v>
      </c>
      <c r="C654" s="26" t="n">
        <v>46082</v>
      </c>
      <c r="D654" s="27" t="n">
        <v>3286</v>
      </c>
      <c r="E654" s="28" t="n">
        <v>671</v>
      </c>
      <c r="F654" s="29" t="n">
        <v>0.0819</v>
      </c>
      <c r="G654" s="29" t="n">
        <v>0.1679</v>
      </c>
      <c r="H654" s="30" t="n">
        <v>13.01</v>
      </c>
      <c r="I654" s="29" t="n">
        <v>0.017</v>
      </c>
      <c r="J654" s="29" t="n">
        <v>0.0362</v>
      </c>
      <c r="K654" s="29" t="n">
        <v>0.0277</v>
      </c>
      <c r="L654" s="27" t="n">
        <v>16</v>
      </c>
      <c r="M654" s="27" t="n">
        <v>22100</v>
      </c>
      <c r="N654" s="30" t="n">
        <v>48.13</v>
      </c>
      <c r="O654" s="30" t="n">
        <v>10.41</v>
      </c>
      <c r="P654" s="29" t="n">
        <v>0.0104</v>
      </c>
      <c r="Q654" s="27" t="n">
        <v>735000</v>
      </c>
      <c r="R654" s="27" t="n">
        <v>197017</v>
      </c>
      <c r="S654" s="27" t="n">
        <v>68558</v>
      </c>
      <c r="T654" s="29" t="n">
        <v>0.568</v>
      </c>
      <c r="U654" s="29" t="n">
        <v>0.278</v>
      </c>
      <c r="V654" s="29" t="n">
        <v>0.885</v>
      </c>
      <c r="W654" s="28" t="n">
        <v>12.1</v>
      </c>
    </row>
    <row r="655" customFormat="false" ht="15" hidden="false" customHeight="false" outlineLevel="0" collapsed="false">
      <c r="A655" s="25" t="s">
        <v>887</v>
      </c>
      <c r="B655" s="25" t="s">
        <v>390</v>
      </c>
      <c r="C655" s="26" t="n">
        <v>46113</v>
      </c>
      <c r="D655" s="27" t="n">
        <v>3092</v>
      </c>
      <c r="E655" s="28" t="n">
        <v>657.3</v>
      </c>
      <c r="F655" s="29" t="n">
        <v>0.081</v>
      </c>
      <c r="G655" s="29" t="n">
        <v>0.1635</v>
      </c>
      <c r="H655" s="30" t="n">
        <v>13.12</v>
      </c>
      <c r="I655" s="29" t="n">
        <v>0.0161</v>
      </c>
      <c r="J655" s="29" t="n">
        <v>0.0346</v>
      </c>
      <c r="K655" s="29" t="n">
        <v>0.03</v>
      </c>
      <c r="L655" s="27" t="n">
        <v>16</v>
      </c>
      <c r="M655" s="27" t="n">
        <v>22120</v>
      </c>
      <c r="N655" s="30" t="n">
        <v>48.52</v>
      </c>
      <c r="O655" s="30" t="n">
        <v>10.2</v>
      </c>
      <c r="P655" s="29" t="n">
        <v>0.0101</v>
      </c>
      <c r="Q655" s="27" t="n">
        <v>735000</v>
      </c>
      <c r="R655" s="27" t="n">
        <v>197648</v>
      </c>
      <c r="S655" s="27" t="n">
        <v>62706</v>
      </c>
      <c r="T655" s="29" t="n">
        <v>0.606</v>
      </c>
      <c r="U655" s="29" t="n">
        <v>0.273</v>
      </c>
      <c r="V655" s="29" t="n">
        <v>0.873</v>
      </c>
      <c r="W655" s="28" t="n">
        <v>12.4</v>
      </c>
    </row>
    <row r="656" customFormat="false" ht="15" hidden="false" customHeight="false" outlineLevel="0" collapsed="false">
      <c r="A656" s="25" t="s">
        <v>888</v>
      </c>
      <c r="B656" s="25" t="s">
        <v>390</v>
      </c>
      <c r="C656" s="26" t="n">
        <v>46143</v>
      </c>
      <c r="D656" s="27" t="n">
        <v>3514</v>
      </c>
      <c r="E656" s="28" t="n">
        <v>678.1</v>
      </c>
      <c r="F656" s="29" t="n">
        <v>0.0869</v>
      </c>
      <c r="G656" s="29" t="n">
        <v>0.1669</v>
      </c>
      <c r="H656" s="30" t="n">
        <v>13.17</v>
      </c>
      <c r="I656" s="29" t="n">
        <v>0.0189</v>
      </c>
      <c r="J656" s="29" t="n">
        <v>0.0345</v>
      </c>
      <c r="K656" s="29" t="n">
        <v>0.0308</v>
      </c>
      <c r="L656" s="27" t="n">
        <v>16</v>
      </c>
      <c r="M656" s="27" t="n">
        <v>22140</v>
      </c>
      <c r="N656" s="30" t="n">
        <v>48.23</v>
      </c>
      <c r="O656" s="30" t="n">
        <v>10.39</v>
      </c>
      <c r="P656" s="29" t="n">
        <v>0.01</v>
      </c>
      <c r="Q656" s="27" t="n">
        <v>735000</v>
      </c>
      <c r="R656" s="27" t="n">
        <v>199087</v>
      </c>
      <c r="S656" s="27" t="n">
        <v>72010</v>
      </c>
      <c r="T656" s="29" t="n">
        <v>0.568</v>
      </c>
      <c r="U656" s="29" t="n">
        <v>0.282</v>
      </c>
      <c r="V656" s="29" t="n">
        <v>0.865</v>
      </c>
      <c r="W656" s="28" t="n">
        <v>12.3</v>
      </c>
    </row>
    <row r="657" customFormat="false" ht="15" hidden="false" customHeight="false" outlineLevel="0" collapsed="false">
      <c r="A657" s="25" t="s">
        <v>889</v>
      </c>
      <c r="B657" s="25" t="s">
        <v>390</v>
      </c>
      <c r="C657" s="26" t="n">
        <v>46174</v>
      </c>
      <c r="D657" s="27" t="n">
        <v>6263</v>
      </c>
      <c r="E657" s="28" t="n">
        <v>663.3</v>
      </c>
      <c r="F657" s="29" t="n">
        <v>0.0774</v>
      </c>
      <c r="G657" s="29" t="n">
        <v>0.1686</v>
      </c>
      <c r="H657" s="30" t="n">
        <v>12.93</v>
      </c>
      <c r="I657" s="29" t="n">
        <v>0.0174</v>
      </c>
      <c r="J657" s="29" t="n">
        <v>0.0338</v>
      </c>
      <c r="K657" s="29" t="n">
        <v>0.027</v>
      </c>
      <c r="L657" s="27" t="n">
        <v>16</v>
      </c>
      <c r="M657" s="27" t="n">
        <v>22160</v>
      </c>
      <c r="N657" s="30" t="n">
        <v>46.73</v>
      </c>
      <c r="O657" s="30" t="n">
        <v>10.65</v>
      </c>
      <c r="P657" s="29" t="n">
        <v>0.01</v>
      </c>
      <c r="Q657" s="27" t="n">
        <v>735000</v>
      </c>
      <c r="R657" s="27" t="n">
        <v>180786</v>
      </c>
      <c r="S657" s="27" t="n">
        <v>116916</v>
      </c>
      <c r="T657" s="29" t="n">
        <v>0.603</v>
      </c>
      <c r="U657" s="29" t="n">
        <v>0.276</v>
      </c>
      <c r="V657" s="29" t="n">
        <v>0.874</v>
      </c>
      <c r="W657" s="28" t="n">
        <v>12.3</v>
      </c>
    </row>
    <row r="658" customFormat="false" ht="15" hidden="false" customHeight="false" outlineLevel="0" collapsed="false">
      <c r="A658" s="25" t="s">
        <v>890</v>
      </c>
      <c r="B658" s="25" t="s">
        <v>390</v>
      </c>
      <c r="C658" s="26" t="n">
        <v>46204</v>
      </c>
      <c r="D658" s="27" t="n">
        <v>8403</v>
      </c>
      <c r="E658" s="28" t="n">
        <v>663.6</v>
      </c>
      <c r="F658" s="29" t="n">
        <v>0.0719</v>
      </c>
      <c r="G658" s="29" t="n">
        <v>0.1654</v>
      </c>
      <c r="H658" s="30" t="n">
        <v>12.9</v>
      </c>
      <c r="I658" s="29" t="n">
        <v>0.0186</v>
      </c>
      <c r="J658" s="29" t="n">
        <v>0.0319</v>
      </c>
      <c r="K658" s="29" t="n">
        <v>0.0238</v>
      </c>
      <c r="L658" s="27" t="n">
        <v>16</v>
      </c>
      <c r="M658" s="27" t="n">
        <v>22180</v>
      </c>
      <c r="N658" s="30" t="n">
        <v>46.38</v>
      </c>
      <c r="O658" s="30" t="n">
        <v>10.38</v>
      </c>
      <c r="P658" s="29" t="n">
        <v>0.0098</v>
      </c>
      <c r="Q658" s="27" t="n">
        <v>735000</v>
      </c>
      <c r="R658" s="27" t="n">
        <v>185135</v>
      </c>
      <c r="S658" s="27" t="n">
        <v>144520</v>
      </c>
      <c r="T658" s="29" t="n">
        <v>0.634</v>
      </c>
      <c r="U658" s="29" t="n">
        <v>0.256</v>
      </c>
      <c r="V658" s="29" t="n">
        <v>0.902</v>
      </c>
      <c r="W658" s="28" t="n">
        <v>11.7</v>
      </c>
    </row>
    <row r="659" customFormat="false" ht="15" hidden="false" customHeight="false" outlineLevel="0" collapsed="false">
      <c r="A659" s="25" t="s">
        <v>891</v>
      </c>
      <c r="B659" s="25" t="s">
        <v>390</v>
      </c>
      <c r="C659" s="26" t="n">
        <v>46235</v>
      </c>
      <c r="D659" s="27" t="n">
        <v>11491</v>
      </c>
      <c r="E659" s="28" t="n">
        <v>663.4</v>
      </c>
      <c r="F659" s="29" t="n">
        <v>0.0706</v>
      </c>
      <c r="G659" s="29" t="n">
        <v>0.1653</v>
      </c>
      <c r="H659" s="30" t="n">
        <v>12.64</v>
      </c>
      <c r="I659" s="29" t="n">
        <v>0.0193</v>
      </c>
      <c r="J659" s="29" t="n">
        <v>0.0308</v>
      </c>
      <c r="K659" s="29" t="n">
        <v>0.0316</v>
      </c>
      <c r="L659" s="27" t="n">
        <v>16</v>
      </c>
      <c r="M659" s="27" t="n">
        <v>22200</v>
      </c>
      <c r="N659" s="30" t="n">
        <v>45.59</v>
      </c>
      <c r="O659" s="30" t="n">
        <v>10.81</v>
      </c>
      <c r="P659" s="29" t="n">
        <v>0.0099</v>
      </c>
      <c r="Q659" s="27" t="n">
        <v>735000</v>
      </c>
      <c r="R659" s="27" t="n">
        <v>197606</v>
      </c>
      <c r="S659" s="27" t="n">
        <v>183387</v>
      </c>
      <c r="T659" s="29" t="n">
        <v>0.654</v>
      </c>
      <c r="U659" s="29" t="n">
        <v>0.282</v>
      </c>
      <c r="V659" s="29" t="n">
        <v>0.888</v>
      </c>
      <c r="W659" s="28" t="n">
        <v>11.1</v>
      </c>
    </row>
    <row r="660" customFormat="false" ht="15" hidden="false" customHeight="false" outlineLevel="0" collapsed="false">
      <c r="A660" s="25" t="s">
        <v>892</v>
      </c>
      <c r="B660" s="25" t="s">
        <v>390</v>
      </c>
      <c r="C660" s="26" t="n">
        <v>46266</v>
      </c>
      <c r="D660" s="27" t="n">
        <v>13415</v>
      </c>
      <c r="E660" s="28" t="n">
        <v>666.8</v>
      </c>
      <c r="F660" s="29" t="n">
        <v>0.069</v>
      </c>
      <c r="G660" s="29" t="n">
        <v>0.1651</v>
      </c>
      <c r="H660" s="30" t="n">
        <v>12.34</v>
      </c>
      <c r="I660" s="29" t="n">
        <v>0.0204</v>
      </c>
      <c r="J660" s="29" t="n">
        <v>0.0286</v>
      </c>
      <c r="K660" s="29" t="n">
        <v>0.0345</v>
      </c>
      <c r="L660" s="27" t="n">
        <v>16</v>
      </c>
      <c r="M660" s="27" t="n">
        <v>22220</v>
      </c>
      <c r="N660" s="30" t="n">
        <v>44.86</v>
      </c>
      <c r="O660" s="30" t="n">
        <v>10.89</v>
      </c>
      <c r="P660" s="29" t="n">
        <v>0.0101</v>
      </c>
      <c r="Q660" s="27" t="n">
        <v>735000</v>
      </c>
      <c r="R660" s="27" t="n">
        <v>189040</v>
      </c>
      <c r="S660" s="27" t="n">
        <v>195159</v>
      </c>
      <c r="T660" s="29" t="n">
        <v>0.669</v>
      </c>
      <c r="U660" s="29" t="n">
        <v>0.267</v>
      </c>
      <c r="V660" s="29" t="n">
        <v>0.883</v>
      </c>
      <c r="W660" s="28" t="n">
        <v>12</v>
      </c>
    </row>
    <row r="661" customFormat="false" ht="15" hidden="false" customHeight="false" outlineLevel="0" collapsed="false">
      <c r="A661" s="25" t="s">
        <v>893</v>
      </c>
      <c r="B661" s="25" t="s">
        <v>393</v>
      </c>
      <c r="C661" s="26" t="n">
        <v>45931</v>
      </c>
      <c r="D661" s="27" t="n">
        <v>37603</v>
      </c>
      <c r="E661" s="28" t="n">
        <v>625.7</v>
      </c>
      <c r="F661" s="29" t="n">
        <v>0.052</v>
      </c>
      <c r="G661" s="29" t="n">
        <v>0.1624</v>
      </c>
      <c r="H661" s="30" t="n">
        <v>13.48</v>
      </c>
      <c r="I661" s="29" t="n">
        <v>0.0311</v>
      </c>
      <c r="J661" s="29" t="n">
        <v>0.0378</v>
      </c>
      <c r="K661" s="29" t="n">
        <v>0.0819</v>
      </c>
      <c r="L661" s="27" t="n">
        <v>35</v>
      </c>
      <c r="M661" s="27" t="n">
        <v>19500</v>
      </c>
      <c r="N661" s="30" t="n">
        <v>33.87</v>
      </c>
      <c r="O661" s="30" t="n">
        <v>10.05</v>
      </c>
      <c r="P661" s="29" t="n">
        <v>0.01</v>
      </c>
      <c r="Q661" s="27" t="n">
        <v>475000</v>
      </c>
      <c r="R661" s="27" t="n">
        <v>190665</v>
      </c>
      <c r="S661" s="27" t="n">
        <v>176167</v>
      </c>
      <c r="T661" s="29" t="n">
        <v>0.834</v>
      </c>
      <c r="U661" s="29" t="n">
        <v>0.382</v>
      </c>
      <c r="V661" s="29" t="n">
        <v>0.823</v>
      </c>
      <c r="W661" s="28" t="n">
        <v>13.6</v>
      </c>
    </row>
    <row r="662" customFormat="false" ht="15" hidden="false" customHeight="false" outlineLevel="0" collapsed="false">
      <c r="A662" s="25" t="s">
        <v>894</v>
      </c>
      <c r="B662" s="25" t="s">
        <v>393</v>
      </c>
      <c r="C662" s="26" t="n">
        <v>45962</v>
      </c>
      <c r="D662" s="27" t="n">
        <v>37249</v>
      </c>
      <c r="E662" s="28" t="n">
        <v>636</v>
      </c>
      <c r="F662" s="29" t="n">
        <v>0.0512</v>
      </c>
      <c r="G662" s="29" t="n">
        <v>0.1666</v>
      </c>
      <c r="H662" s="30" t="n">
        <v>13.36</v>
      </c>
      <c r="I662" s="29" t="n">
        <v>0.0312</v>
      </c>
      <c r="J662" s="29" t="n">
        <v>0.0365</v>
      </c>
      <c r="K662" s="29" t="n">
        <v>0.087</v>
      </c>
      <c r="L662" s="27" t="n">
        <v>36</v>
      </c>
      <c r="M662" s="27" t="n">
        <v>19518</v>
      </c>
      <c r="N662" s="30" t="n">
        <v>34.87</v>
      </c>
      <c r="O662" s="30" t="n">
        <v>10</v>
      </c>
      <c r="P662" s="29" t="n">
        <v>0.0104</v>
      </c>
      <c r="Q662" s="27" t="n">
        <v>475000</v>
      </c>
      <c r="R662" s="27" t="n">
        <v>188732</v>
      </c>
      <c r="S662" s="27" t="n">
        <v>167255</v>
      </c>
      <c r="T662" s="29" t="n">
        <v>0.832</v>
      </c>
      <c r="U662" s="29" t="n">
        <v>0.38</v>
      </c>
      <c r="V662" s="29" t="n">
        <v>0.791</v>
      </c>
      <c r="W662" s="28" t="n">
        <v>13.6</v>
      </c>
    </row>
    <row r="663" customFormat="false" ht="15" hidden="false" customHeight="false" outlineLevel="0" collapsed="false">
      <c r="A663" s="25" t="s">
        <v>895</v>
      </c>
      <c r="B663" s="25" t="s">
        <v>393</v>
      </c>
      <c r="C663" s="26" t="n">
        <v>45992</v>
      </c>
      <c r="D663" s="27" t="n">
        <v>38258</v>
      </c>
      <c r="E663" s="28" t="n">
        <v>633.8</v>
      </c>
      <c r="F663" s="29" t="n">
        <v>0.0504</v>
      </c>
      <c r="G663" s="29" t="n">
        <v>0.1657</v>
      </c>
      <c r="H663" s="30" t="n">
        <v>12.98</v>
      </c>
      <c r="I663" s="29" t="n">
        <v>0.0307</v>
      </c>
      <c r="J663" s="29" t="n">
        <v>0.0383</v>
      </c>
      <c r="K663" s="29" t="n">
        <v>0.0856</v>
      </c>
      <c r="L663" s="27" t="n">
        <v>36</v>
      </c>
      <c r="M663" s="27" t="n">
        <v>19535</v>
      </c>
      <c r="N663" s="30" t="n">
        <v>33.35</v>
      </c>
      <c r="O663" s="30" t="n">
        <v>9.84</v>
      </c>
      <c r="P663" s="29" t="n">
        <v>0.0103</v>
      </c>
      <c r="Q663" s="27" t="n">
        <v>475000</v>
      </c>
      <c r="R663" s="27" t="n">
        <v>194843</v>
      </c>
      <c r="S663" s="27" t="n">
        <v>156265</v>
      </c>
      <c r="T663" s="29" t="n">
        <v>0.829</v>
      </c>
      <c r="U663" s="29" t="n">
        <v>0.388</v>
      </c>
      <c r="V663" s="29" t="n">
        <v>0.789</v>
      </c>
      <c r="W663" s="28" t="n">
        <v>13.5</v>
      </c>
    </row>
    <row r="664" customFormat="false" ht="15" hidden="false" customHeight="false" outlineLevel="0" collapsed="false">
      <c r="A664" s="25" t="s">
        <v>896</v>
      </c>
      <c r="B664" s="25" t="s">
        <v>393</v>
      </c>
      <c r="C664" s="26" t="n">
        <v>46023</v>
      </c>
      <c r="D664" s="27" t="n">
        <v>37995</v>
      </c>
      <c r="E664" s="28" t="n">
        <v>623.6</v>
      </c>
      <c r="F664" s="29" t="n">
        <v>0.054</v>
      </c>
      <c r="G664" s="29" t="n">
        <v>0.1671</v>
      </c>
      <c r="H664" s="30" t="n">
        <v>13.09</v>
      </c>
      <c r="I664" s="29" t="n">
        <v>0.0298</v>
      </c>
      <c r="J664" s="29" t="n">
        <v>0.0379</v>
      </c>
      <c r="K664" s="29" t="n">
        <v>0.0793</v>
      </c>
      <c r="L664" s="27" t="n">
        <v>35</v>
      </c>
      <c r="M664" s="27" t="n">
        <v>19553</v>
      </c>
      <c r="N664" s="30" t="n">
        <v>34.11</v>
      </c>
      <c r="O664" s="30" t="n">
        <v>9.74</v>
      </c>
      <c r="P664" s="29" t="n">
        <v>0.01</v>
      </c>
      <c r="Q664" s="27" t="n">
        <v>475000</v>
      </c>
      <c r="R664" s="27" t="n">
        <v>175431</v>
      </c>
      <c r="S664" s="27" t="n">
        <v>130645</v>
      </c>
      <c r="T664" s="29" t="n">
        <v>0.81</v>
      </c>
      <c r="U664" s="29" t="n">
        <v>0.374</v>
      </c>
      <c r="V664" s="29" t="n">
        <v>0.813</v>
      </c>
      <c r="W664" s="28" t="n">
        <v>13.1</v>
      </c>
    </row>
    <row r="665" customFormat="false" ht="15" hidden="false" customHeight="false" outlineLevel="0" collapsed="false">
      <c r="A665" s="25" t="s">
        <v>897</v>
      </c>
      <c r="B665" s="25" t="s">
        <v>393</v>
      </c>
      <c r="C665" s="26" t="n">
        <v>46054</v>
      </c>
      <c r="D665" s="27" t="n">
        <v>34088</v>
      </c>
      <c r="E665" s="28" t="n">
        <v>635.2</v>
      </c>
      <c r="F665" s="29" t="n">
        <v>0.0503</v>
      </c>
      <c r="G665" s="29" t="n">
        <v>0.1651</v>
      </c>
      <c r="H665" s="30" t="n">
        <v>13.3</v>
      </c>
      <c r="I665" s="29" t="n">
        <v>0.0307</v>
      </c>
      <c r="J665" s="29" t="n">
        <v>0.0371</v>
      </c>
      <c r="K665" s="29" t="n">
        <v>0.0763</v>
      </c>
      <c r="L665" s="27" t="n">
        <v>36</v>
      </c>
      <c r="M665" s="27" t="n">
        <v>19571</v>
      </c>
      <c r="N665" s="30" t="n">
        <v>34.1</v>
      </c>
      <c r="O665" s="30" t="n">
        <v>9.71</v>
      </c>
      <c r="P665" s="29" t="n">
        <v>0.0101</v>
      </c>
      <c r="Q665" s="27" t="n">
        <v>475000</v>
      </c>
      <c r="R665" s="27" t="n">
        <v>192710</v>
      </c>
      <c r="S665" s="27" t="n">
        <v>144479</v>
      </c>
      <c r="T665" s="29" t="n">
        <v>0.835</v>
      </c>
      <c r="U665" s="29" t="n">
        <v>0.371</v>
      </c>
      <c r="V665" s="29" t="n">
        <v>0.807</v>
      </c>
      <c r="W665" s="28" t="n">
        <v>13.7</v>
      </c>
    </row>
    <row r="666" customFormat="false" ht="15" hidden="false" customHeight="false" outlineLevel="0" collapsed="false">
      <c r="A666" s="25" t="s">
        <v>898</v>
      </c>
      <c r="B666" s="25" t="s">
        <v>393</v>
      </c>
      <c r="C666" s="26" t="n">
        <v>46082</v>
      </c>
      <c r="D666" s="27" t="n">
        <v>37093</v>
      </c>
      <c r="E666" s="28" t="n">
        <v>631</v>
      </c>
      <c r="F666" s="29" t="n">
        <v>0.0518</v>
      </c>
      <c r="G666" s="29" t="n">
        <v>0.165</v>
      </c>
      <c r="H666" s="30" t="n">
        <v>13.98</v>
      </c>
      <c r="I666" s="29" t="n">
        <v>0.0305</v>
      </c>
      <c r="J666" s="29" t="n">
        <v>0.038</v>
      </c>
      <c r="K666" s="29" t="n">
        <v>0.0818</v>
      </c>
      <c r="L666" s="27" t="n">
        <v>34</v>
      </c>
      <c r="M666" s="27" t="n">
        <v>19589</v>
      </c>
      <c r="N666" s="30" t="n">
        <v>34.88</v>
      </c>
      <c r="O666" s="30" t="n">
        <v>9.6</v>
      </c>
      <c r="P666" s="29" t="n">
        <v>0.0099</v>
      </c>
      <c r="Q666" s="27" t="n">
        <v>475000</v>
      </c>
      <c r="R666" s="27" t="n">
        <v>192861</v>
      </c>
      <c r="S666" s="27" t="n">
        <v>146455</v>
      </c>
      <c r="T666" s="29" t="n">
        <v>0.828</v>
      </c>
      <c r="U666" s="29" t="n">
        <v>0.402</v>
      </c>
      <c r="V666" s="29" t="n">
        <v>0.817</v>
      </c>
      <c r="W666" s="28" t="n">
        <v>13.2</v>
      </c>
    </row>
    <row r="667" customFormat="false" ht="15" hidden="false" customHeight="false" outlineLevel="0" collapsed="false">
      <c r="A667" s="25" t="s">
        <v>899</v>
      </c>
      <c r="B667" s="25" t="s">
        <v>393</v>
      </c>
      <c r="C667" s="26" t="n">
        <v>46113</v>
      </c>
      <c r="D667" s="27" t="n">
        <v>36891</v>
      </c>
      <c r="E667" s="28" t="n">
        <v>643</v>
      </c>
      <c r="F667" s="29" t="n">
        <v>0.0516</v>
      </c>
      <c r="G667" s="29" t="n">
        <v>0.1637</v>
      </c>
      <c r="H667" s="30" t="n">
        <v>13.32</v>
      </c>
      <c r="I667" s="29" t="n">
        <v>0.0303</v>
      </c>
      <c r="J667" s="29" t="n">
        <v>0.038</v>
      </c>
      <c r="K667" s="29" t="n">
        <v>0.083</v>
      </c>
      <c r="L667" s="27" t="n">
        <v>33</v>
      </c>
      <c r="M667" s="27" t="n">
        <v>19606</v>
      </c>
      <c r="N667" s="30" t="n">
        <v>34.39</v>
      </c>
      <c r="O667" s="30" t="n">
        <v>9.62</v>
      </c>
      <c r="P667" s="29" t="n">
        <v>0.01</v>
      </c>
      <c r="Q667" s="27" t="n">
        <v>475000</v>
      </c>
      <c r="R667" s="27" t="n">
        <v>186071</v>
      </c>
      <c r="S667" s="27" t="n">
        <v>139618</v>
      </c>
      <c r="T667" s="29" t="n">
        <v>0.845</v>
      </c>
      <c r="U667" s="29" t="n">
        <v>0.368</v>
      </c>
      <c r="V667" s="29" t="n">
        <v>0.801</v>
      </c>
      <c r="W667" s="28" t="n">
        <v>13.6</v>
      </c>
    </row>
    <row r="668" customFormat="false" ht="15" hidden="false" customHeight="false" outlineLevel="0" collapsed="false">
      <c r="A668" s="25" t="s">
        <v>900</v>
      </c>
      <c r="B668" s="25" t="s">
        <v>393</v>
      </c>
      <c r="C668" s="26" t="n">
        <v>46143</v>
      </c>
      <c r="D668" s="27" t="n">
        <v>41046</v>
      </c>
      <c r="E668" s="28" t="n">
        <v>635.4</v>
      </c>
      <c r="F668" s="29" t="n">
        <v>0.0532</v>
      </c>
      <c r="G668" s="29" t="n">
        <v>0.1656</v>
      </c>
      <c r="H668" s="30" t="n">
        <v>13.32</v>
      </c>
      <c r="I668" s="29" t="n">
        <v>0.0321</v>
      </c>
      <c r="J668" s="29" t="n">
        <v>0.0382</v>
      </c>
      <c r="K668" s="29" t="n">
        <v>0.0826</v>
      </c>
      <c r="L668" s="27" t="n">
        <v>37</v>
      </c>
      <c r="M668" s="27" t="n">
        <v>19624</v>
      </c>
      <c r="N668" s="30" t="n">
        <v>34.45</v>
      </c>
      <c r="O668" s="30" t="n">
        <v>9.74</v>
      </c>
      <c r="P668" s="29" t="n">
        <v>0.0097</v>
      </c>
      <c r="Q668" s="27" t="n">
        <v>475000</v>
      </c>
      <c r="R668" s="27" t="n">
        <v>187606</v>
      </c>
      <c r="S668" s="27" t="n">
        <v>176030</v>
      </c>
      <c r="T668" s="29" t="n">
        <v>0.85</v>
      </c>
      <c r="U668" s="29" t="n">
        <v>0.363</v>
      </c>
      <c r="V668" s="29" t="n">
        <v>0.805</v>
      </c>
      <c r="W668" s="28" t="n">
        <v>13.6</v>
      </c>
    </row>
    <row r="669" customFormat="false" ht="15" hidden="false" customHeight="false" outlineLevel="0" collapsed="false">
      <c r="A669" s="25" t="s">
        <v>901</v>
      </c>
      <c r="B669" s="25" t="s">
        <v>393</v>
      </c>
      <c r="C669" s="26" t="n">
        <v>46174</v>
      </c>
      <c r="D669" s="27" t="n">
        <v>38980</v>
      </c>
      <c r="E669" s="28" t="n">
        <v>645.7</v>
      </c>
      <c r="F669" s="29" t="n">
        <v>0.0523</v>
      </c>
      <c r="G669" s="29" t="n">
        <v>0.1661</v>
      </c>
      <c r="H669" s="30" t="n">
        <v>13.3</v>
      </c>
      <c r="I669" s="29" t="n">
        <v>0.0322</v>
      </c>
      <c r="J669" s="29" t="n">
        <v>0.0389</v>
      </c>
      <c r="K669" s="29" t="n">
        <v>0.0813</v>
      </c>
      <c r="L669" s="27" t="n">
        <v>37</v>
      </c>
      <c r="M669" s="27" t="n">
        <v>19642</v>
      </c>
      <c r="N669" s="30" t="n">
        <v>34.47</v>
      </c>
      <c r="O669" s="30" t="n">
        <v>9.92</v>
      </c>
      <c r="P669" s="29" t="n">
        <v>0.0098</v>
      </c>
      <c r="Q669" s="27" t="n">
        <v>475000</v>
      </c>
      <c r="R669" s="27" t="n">
        <v>184714</v>
      </c>
      <c r="S669" s="27" t="n">
        <v>186630</v>
      </c>
      <c r="T669" s="29" t="n">
        <v>0.831</v>
      </c>
      <c r="U669" s="29" t="n">
        <v>0.373</v>
      </c>
      <c r="V669" s="29" t="n">
        <v>0.804</v>
      </c>
      <c r="W669" s="28" t="n">
        <v>13.1</v>
      </c>
    </row>
    <row r="670" customFormat="false" ht="15" hidden="false" customHeight="false" outlineLevel="0" collapsed="false">
      <c r="A670" s="25" t="s">
        <v>902</v>
      </c>
      <c r="B670" s="25" t="s">
        <v>393</v>
      </c>
      <c r="C670" s="26" t="n">
        <v>46204</v>
      </c>
      <c r="D670" s="27" t="n">
        <v>37831</v>
      </c>
      <c r="E670" s="28" t="n">
        <v>627.1</v>
      </c>
      <c r="F670" s="29" t="n">
        <v>0.054</v>
      </c>
      <c r="G670" s="29" t="n">
        <v>0.1658</v>
      </c>
      <c r="H670" s="30" t="n">
        <v>13.61</v>
      </c>
      <c r="I670" s="29" t="n">
        <v>0.0301</v>
      </c>
      <c r="J670" s="29" t="n">
        <v>0.0374</v>
      </c>
      <c r="K670" s="29" t="n">
        <v>0.0857</v>
      </c>
      <c r="L670" s="27" t="n">
        <v>36</v>
      </c>
      <c r="M670" s="27" t="n">
        <v>19660</v>
      </c>
      <c r="N670" s="30" t="n">
        <v>34.52</v>
      </c>
      <c r="O670" s="30" t="n">
        <v>9.81</v>
      </c>
      <c r="P670" s="29" t="n">
        <v>0.01</v>
      </c>
      <c r="Q670" s="27" t="n">
        <v>475000</v>
      </c>
      <c r="R670" s="27" t="n">
        <v>194163</v>
      </c>
      <c r="S670" s="27" t="n">
        <v>152664</v>
      </c>
      <c r="T670" s="29" t="n">
        <v>0.82</v>
      </c>
      <c r="U670" s="29" t="n">
        <v>0.387</v>
      </c>
      <c r="V670" s="29" t="n">
        <v>0.792</v>
      </c>
      <c r="W670" s="28" t="n">
        <v>13.3</v>
      </c>
    </row>
    <row r="671" customFormat="false" ht="15" hidden="false" customHeight="false" outlineLevel="0" collapsed="false">
      <c r="A671" s="25" t="s">
        <v>903</v>
      </c>
      <c r="B671" s="25" t="s">
        <v>393</v>
      </c>
      <c r="C671" s="26" t="n">
        <v>46235</v>
      </c>
      <c r="D671" s="27" t="n">
        <v>38129</v>
      </c>
      <c r="E671" s="28" t="n">
        <v>638.7</v>
      </c>
      <c r="F671" s="29" t="n">
        <v>0.0517</v>
      </c>
      <c r="G671" s="29" t="n">
        <v>0.1646</v>
      </c>
      <c r="H671" s="30" t="n">
        <v>14.43</v>
      </c>
      <c r="I671" s="29" t="n">
        <v>0.0317</v>
      </c>
      <c r="J671" s="29" t="n">
        <v>0.0381</v>
      </c>
      <c r="K671" s="29" t="n">
        <v>0.0861</v>
      </c>
      <c r="L671" s="27" t="n">
        <v>36</v>
      </c>
      <c r="M671" s="27" t="n">
        <v>19677</v>
      </c>
      <c r="N671" s="30" t="n">
        <v>33.92</v>
      </c>
      <c r="O671" s="30" t="n">
        <v>9.74</v>
      </c>
      <c r="P671" s="29" t="n">
        <v>0.0098</v>
      </c>
      <c r="Q671" s="27" t="n">
        <v>475000</v>
      </c>
      <c r="R671" s="27" t="n">
        <v>185455</v>
      </c>
      <c r="S671" s="27" t="n">
        <v>152732</v>
      </c>
      <c r="T671" s="29" t="n">
        <v>0.819</v>
      </c>
      <c r="U671" s="29" t="n">
        <v>0.382</v>
      </c>
      <c r="V671" s="29" t="n">
        <v>0.778</v>
      </c>
      <c r="W671" s="28" t="n">
        <v>13.9</v>
      </c>
    </row>
    <row r="672" customFormat="false" ht="15" hidden="false" customHeight="false" outlineLevel="0" collapsed="false">
      <c r="A672" s="25" t="s">
        <v>904</v>
      </c>
      <c r="B672" s="25" t="s">
        <v>393</v>
      </c>
      <c r="C672" s="26" t="n">
        <v>46266</v>
      </c>
      <c r="D672" s="27" t="n">
        <v>38958</v>
      </c>
      <c r="E672" s="28" t="n">
        <v>651.5</v>
      </c>
      <c r="F672" s="29" t="n">
        <v>0.0522</v>
      </c>
      <c r="G672" s="29" t="n">
        <v>0.1632</v>
      </c>
      <c r="H672" s="30" t="n">
        <v>13.44</v>
      </c>
      <c r="I672" s="29" t="n">
        <v>0.0309</v>
      </c>
      <c r="J672" s="29" t="n">
        <v>0.0375</v>
      </c>
      <c r="K672" s="29" t="n">
        <v>0.0911</v>
      </c>
      <c r="L672" s="27" t="n">
        <v>37</v>
      </c>
      <c r="M672" s="27" t="n">
        <v>19695</v>
      </c>
      <c r="N672" s="30" t="n">
        <v>34.34</v>
      </c>
      <c r="O672" s="30" t="n">
        <v>10.34</v>
      </c>
      <c r="P672" s="29" t="n">
        <v>0.0101</v>
      </c>
      <c r="Q672" s="27" t="n">
        <v>475000</v>
      </c>
      <c r="R672" s="27" t="n">
        <v>184856</v>
      </c>
      <c r="S672" s="27" t="n">
        <v>155226</v>
      </c>
      <c r="T672" s="29" t="n">
        <v>0.828</v>
      </c>
      <c r="U672" s="29" t="n">
        <v>0.376</v>
      </c>
      <c r="V672" s="29" t="n">
        <v>0.792</v>
      </c>
      <c r="W672" s="28" t="n">
        <v>13.6</v>
      </c>
    </row>
    <row r="673" customFormat="false" ht="15" hidden="false" customHeight="false" outlineLevel="0" collapsed="false">
      <c r="A673" s="25" t="s">
        <v>905</v>
      </c>
      <c r="B673" s="25" t="s">
        <v>395</v>
      </c>
      <c r="C673" s="26" t="n">
        <v>45931</v>
      </c>
      <c r="D673" s="27" t="n">
        <v>3260</v>
      </c>
      <c r="E673" s="28" t="n">
        <v>615.2</v>
      </c>
      <c r="F673" s="29" t="n">
        <v>0.1088</v>
      </c>
      <c r="G673" s="29" t="n">
        <v>0.1643</v>
      </c>
      <c r="H673" s="30" t="n">
        <v>11.09</v>
      </c>
      <c r="I673" s="29" t="n">
        <v>0.0159</v>
      </c>
      <c r="J673" s="29" t="n">
        <v>0.0414</v>
      </c>
      <c r="K673" s="29" t="n">
        <v>0.0378</v>
      </c>
      <c r="L673" s="27" t="n">
        <v>16</v>
      </c>
      <c r="M673" s="27" t="n">
        <v>19500</v>
      </c>
      <c r="N673" s="30" t="n">
        <v>44.49</v>
      </c>
      <c r="O673" s="30" t="n">
        <v>9.78</v>
      </c>
      <c r="P673" s="29" t="n">
        <v>0.0106</v>
      </c>
      <c r="Q673" s="27" t="n">
        <v>340000</v>
      </c>
      <c r="R673" s="27" t="n">
        <v>166551</v>
      </c>
      <c r="S673" s="27" t="n">
        <v>60624</v>
      </c>
      <c r="T673" s="29" t="n">
        <v>0.478</v>
      </c>
      <c r="U673" s="29" t="n">
        <v>0.211</v>
      </c>
      <c r="V673" s="29" t="n">
        <v>0.871</v>
      </c>
      <c r="W673" s="28" t="n">
        <v>12.2</v>
      </c>
    </row>
    <row r="674" customFormat="false" ht="15" hidden="false" customHeight="false" outlineLevel="0" collapsed="false">
      <c r="A674" s="25" t="s">
        <v>906</v>
      </c>
      <c r="B674" s="25" t="s">
        <v>395</v>
      </c>
      <c r="C674" s="26" t="n">
        <v>45962</v>
      </c>
      <c r="D674" s="27" t="n">
        <v>2978</v>
      </c>
      <c r="E674" s="28" t="n">
        <v>618.7</v>
      </c>
      <c r="F674" s="29" t="n">
        <v>0.1056</v>
      </c>
      <c r="G674" s="29" t="n">
        <v>0.1636</v>
      </c>
      <c r="H674" s="30" t="n">
        <v>12.07</v>
      </c>
      <c r="I674" s="29" t="n">
        <v>0.0174</v>
      </c>
      <c r="J674" s="29" t="n">
        <v>0.0415</v>
      </c>
      <c r="K674" s="29" t="n">
        <v>0.0413</v>
      </c>
      <c r="L674" s="27" t="n">
        <v>16</v>
      </c>
      <c r="M674" s="27" t="n">
        <v>19518</v>
      </c>
      <c r="N674" s="30" t="n">
        <v>44.31</v>
      </c>
      <c r="O674" s="30" t="n">
        <v>9.77</v>
      </c>
      <c r="P674" s="29" t="n">
        <v>0.0106</v>
      </c>
      <c r="Q674" s="27" t="n">
        <v>340000</v>
      </c>
      <c r="R674" s="27" t="n">
        <v>165128</v>
      </c>
      <c r="S674" s="27" t="n">
        <v>55794</v>
      </c>
      <c r="T674" s="29" t="n">
        <v>0.477</v>
      </c>
      <c r="U674" s="29" t="n">
        <v>0.198</v>
      </c>
      <c r="V674" s="29" t="n">
        <v>0.849</v>
      </c>
      <c r="W674" s="28" t="n">
        <v>12.2</v>
      </c>
    </row>
    <row r="675" customFormat="false" ht="15" hidden="false" customHeight="false" outlineLevel="0" collapsed="false">
      <c r="A675" s="25" t="s">
        <v>907</v>
      </c>
      <c r="B675" s="25" t="s">
        <v>395</v>
      </c>
      <c r="C675" s="26" t="n">
        <v>45992</v>
      </c>
      <c r="D675" s="27" t="n">
        <v>5349</v>
      </c>
      <c r="E675" s="28" t="n">
        <v>633.3</v>
      </c>
      <c r="F675" s="29" t="n">
        <v>0.1014</v>
      </c>
      <c r="G675" s="29" t="n">
        <v>0.1623</v>
      </c>
      <c r="H675" s="30" t="n">
        <v>11.88</v>
      </c>
      <c r="I675" s="29" t="n">
        <v>0.0148</v>
      </c>
      <c r="J675" s="29" t="n">
        <v>0.0403</v>
      </c>
      <c r="K675" s="29" t="n">
        <v>0.0366</v>
      </c>
      <c r="L675" s="27" t="n">
        <v>16</v>
      </c>
      <c r="M675" s="27" t="n">
        <v>19535</v>
      </c>
      <c r="N675" s="30" t="n">
        <v>43.89</v>
      </c>
      <c r="O675" s="30" t="n">
        <v>9.94</v>
      </c>
      <c r="P675" s="29" t="n">
        <v>0.0097</v>
      </c>
      <c r="Q675" s="27" t="n">
        <v>340000</v>
      </c>
      <c r="R675" s="27" t="n">
        <v>163302</v>
      </c>
      <c r="S675" s="27" t="n">
        <v>92537</v>
      </c>
      <c r="T675" s="29" t="n">
        <v>0.459</v>
      </c>
      <c r="U675" s="29" t="n">
        <v>0.206</v>
      </c>
      <c r="V675" s="29" t="n">
        <v>0.848</v>
      </c>
      <c r="W675" s="28" t="n">
        <v>12.5</v>
      </c>
    </row>
    <row r="676" customFormat="false" ht="15" hidden="false" customHeight="false" outlineLevel="0" collapsed="false">
      <c r="A676" s="25" t="s">
        <v>908</v>
      </c>
      <c r="B676" s="25" t="s">
        <v>395</v>
      </c>
      <c r="C676" s="26" t="n">
        <v>46023</v>
      </c>
      <c r="D676" s="27" t="n">
        <v>7605</v>
      </c>
      <c r="E676" s="28" t="n">
        <v>600.5</v>
      </c>
      <c r="F676" s="29" t="n">
        <v>0.098</v>
      </c>
      <c r="G676" s="29" t="n">
        <v>0.1596</v>
      </c>
      <c r="H676" s="30" t="n">
        <v>11.71</v>
      </c>
      <c r="I676" s="29" t="n">
        <v>0.0172</v>
      </c>
      <c r="J676" s="29" t="n">
        <v>0.0374</v>
      </c>
      <c r="K676" s="29" t="n">
        <v>0.0372</v>
      </c>
      <c r="L676" s="27" t="n">
        <v>16</v>
      </c>
      <c r="M676" s="27" t="n">
        <v>19553</v>
      </c>
      <c r="N676" s="30" t="n">
        <v>42.37</v>
      </c>
      <c r="O676" s="30" t="n">
        <v>10.06</v>
      </c>
      <c r="P676" s="29" t="n">
        <v>0.0103</v>
      </c>
      <c r="Q676" s="27" t="n">
        <v>340000</v>
      </c>
      <c r="R676" s="27" t="n">
        <v>166300</v>
      </c>
      <c r="S676" s="27" t="n">
        <v>111652</v>
      </c>
      <c r="T676" s="29" t="n">
        <v>0.522</v>
      </c>
      <c r="U676" s="29" t="n">
        <v>0.218</v>
      </c>
      <c r="V676" s="29" t="n">
        <v>0.864</v>
      </c>
      <c r="W676" s="28" t="n">
        <v>12</v>
      </c>
    </row>
    <row r="677" customFormat="false" ht="15" hidden="false" customHeight="false" outlineLevel="0" collapsed="false">
      <c r="A677" s="25" t="s">
        <v>909</v>
      </c>
      <c r="B677" s="25" t="s">
        <v>395</v>
      </c>
      <c r="C677" s="26" t="n">
        <v>46054</v>
      </c>
      <c r="D677" s="27" t="n">
        <v>9226</v>
      </c>
      <c r="E677" s="28" t="n">
        <v>625.7</v>
      </c>
      <c r="F677" s="29" t="n">
        <v>0.0936</v>
      </c>
      <c r="G677" s="29" t="n">
        <v>0.1596</v>
      </c>
      <c r="H677" s="30" t="n">
        <v>11.76</v>
      </c>
      <c r="I677" s="29" t="n">
        <v>0.02</v>
      </c>
      <c r="J677" s="29" t="n">
        <v>0.0364</v>
      </c>
      <c r="K677" s="29" t="n">
        <v>0.0362</v>
      </c>
      <c r="L677" s="27" t="n">
        <v>16</v>
      </c>
      <c r="M677" s="27" t="n">
        <v>19571</v>
      </c>
      <c r="N677" s="30" t="n">
        <v>42.75</v>
      </c>
      <c r="O677" s="30" t="n">
        <v>9.6</v>
      </c>
      <c r="P677" s="29" t="n">
        <v>0.0098</v>
      </c>
      <c r="Q677" s="27" t="n">
        <v>340000</v>
      </c>
      <c r="R677" s="27" t="n">
        <v>171511</v>
      </c>
      <c r="S677" s="27" t="n">
        <v>136809</v>
      </c>
      <c r="T677" s="29" t="n">
        <v>0.514</v>
      </c>
      <c r="U677" s="29" t="n">
        <v>0.219</v>
      </c>
      <c r="V677" s="29" t="n">
        <v>0.855</v>
      </c>
      <c r="W677" s="28" t="n">
        <v>12.3</v>
      </c>
    </row>
    <row r="678" customFormat="false" ht="15" hidden="false" customHeight="false" outlineLevel="0" collapsed="false">
      <c r="A678" s="25" t="s">
        <v>910</v>
      </c>
      <c r="B678" s="25" t="s">
        <v>395</v>
      </c>
      <c r="C678" s="26" t="n">
        <v>46082</v>
      </c>
      <c r="D678" s="27" t="n">
        <v>13054</v>
      </c>
      <c r="E678" s="28" t="n">
        <v>631.8</v>
      </c>
      <c r="F678" s="29" t="n">
        <v>0.0945</v>
      </c>
      <c r="G678" s="29" t="n">
        <v>0.1626</v>
      </c>
      <c r="H678" s="30" t="n">
        <v>12.53</v>
      </c>
      <c r="I678" s="29" t="n">
        <v>0.0228</v>
      </c>
      <c r="J678" s="29" t="n">
        <v>0.0341</v>
      </c>
      <c r="K678" s="29" t="n">
        <v>0.0392</v>
      </c>
      <c r="L678" s="27" t="n">
        <v>16</v>
      </c>
      <c r="M678" s="27" t="n">
        <v>19589</v>
      </c>
      <c r="N678" s="30" t="n">
        <v>40.62</v>
      </c>
      <c r="O678" s="30" t="n">
        <v>9.8</v>
      </c>
      <c r="P678" s="29" t="n">
        <v>0.01</v>
      </c>
      <c r="Q678" s="27" t="n">
        <v>340000</v>
      </c>
      <c r="R678" s="27" t="n">
        <v>161742</v>
      </c>
      <c r="S678" s="27" t="n">
        <v>173531</v>
      </c>
      <c r="T678" s="29" t="n">
        <v>0.538</v>
      </c>
      <c r="U678" s="29" t="n">
        <v>0.217</v>
      </c>
      <c r="V678" s="29" t="n">
        <v>0.845</v>
      </c>
      <c r="W678" s="28" t="n">
        <v>12.9</v>
      </c>
    </row>
    <row r="679" customFormat="false" ht="15" hidden="false" customHeight="false" outlineLevel="0" collapsed="false">
      <c r="A679" s="25" t="s">
        <v>911</v>
      </c>
      <c r="B679" s="25" t="s">
        <v>395</v>
      </c>
      <c r="C679" s="26" t="n">
        <v>46113</v>
      </c>
      <c r="D679" s="27" t="n">
        <v>13918</v>
      </c>
      <c r="E679" s="28" t="n">
        <v>617.5</v>
      </c>
      <c r="F679" s="29" t="n">
        <v>0.0888</v>
      </c>
      <c r="G679" s="29" t="n">
        <v>0.1659</v>
      </c>
      <c r="H679" s="30" t="n">
        <v>12.01</v>
      </c>
      <c r="I679" s="29" t="n">
        <v>0.0201</v>
      </c>
      <c r="J679" s="29" t="n">
        <v>0.0332</v>
      </c>
      <c r="K679" s="29" t="n">
        <v>0.0441</v>
      </c>
      <c r="L679" s="27" t="n">
        <v>16</v>
      </c>
      <c r="M679" s="27" t="n">
        <v>19606</v>
      </c>
      <c r="N679" s="30" t="n">
        <v>40.4</v>
      </c>
      <c r="O679" s="30" t="n">
        <v>10.03</v>
      </c>
      <c r="P679" s="29" t="n">
        <v>0.0102</v>
      </c>
      <c r="Q679" s="27" t="n">
        <v>340000</v>
      </c>
      <c r="R679" s="27" t="n">
        <v>160345</v>
      </c>
      <c r="S679" s="27" t="n">
        <v>161932</v>
      </c>
      <c r="T679" s="29" t="n">
        <v>0.573</v>
      </c>
      <c r="U679" s="29" t="n">
        <v>0.227</v>
      </c>
      <c r="V679" s="29" t="n">
        <v>0.826</v>
      </c>
      <c r="W679" s="28" t="n">
        <v>12.1</v>
      </c>
    </row>
    <row r="680" customFormat="false" ht="15" hidden="false" customHeight="false" outlineLevel="0" collapsed="false">
      <c r="A680" s="25" t="s">
        <v>912</v>
      </c>
      <c r="B680" s="25" t="s">
        <v>395</v>
      </c>
      <c r="C680" s="26" t="n">
        <v>46143</v>
      </c>
      <c r="D680" s="27" t="n">
        <v>16642</v>
      </c>
      <c r="E680" s="28" t="n">
        <v>634.8</v>
      </c>
      <c r="F680" s="29" t="n">
        <v>0.0882</v>
      </c>
      <c r="G680" s="29" t="n">
        <v>0.1627</v>
      </c>
      <c r="H680" s="30" t="n">
        <v>11.66</v>
      </c>
      <c r="I680" s="29" t="n">
        <v>0.0217</v>
      </c>
      <c r="J680" s="29" t="n">
        <v>0.0328</v>
      </c>
      <c r="K680" s="29" t="n">
        <v>0.0401</v>
      </c>
      <c r="L680" s="27" t="n">
        <v>16</v>
      </c>
      <c r="M680" s="27" t="n">
        <v>19624</v>
      </c>
      <c r="N680" s="30" t="n">
        <v>39.18</v>
      </c>
      <c r="O680" s="30" t="n">
        <v>10.05</v>
      </c>
      <c r="P680" s="29" t="n">
        <v>0.0101</v>
      </c>
      <c r="Q680" s="27" t="n">
        <v>340000</v>
      </c>
      <c r="R680" s="27" t="n">
        <v>168263</v>
      </c>
      <c r="S680" s="27" t="n">
        <v>185902</v>
      </c>
      <c r="T680" s="29" t="n">
        <v>0.582</v>
      </c>
      <c r="U680" s="29" t="n">
        <v>0.222</v>
      </c>
      <c r="V680" s="29" t="n">
        <v>0.855</v>
      </c>
      <c r="W680" s="28" t="n">
        <v>12.4</v>
      </c>
    </row>
    <row r="681" customFormat="false" ht="15" hidden="false" customHeight="false" outlineLevel="0" collapsed="false">
      <c r="A681" s="25" t="s">
        <v>913</v>
      </c>
      <c r="B681" s="25" t="s">
        <v>395</v>
      </c>
      <c r="C681" s="26" t="n">
        <v>46174</v>
      </c>
      <c r="D681" s="27" t="n">
        <v>16932</v>
      </c>
      <c r="E681" s="28" t="n">
        <v>626.3</v>
      </c>
      <c r="F681" s="29" t="n">
        <v>0.0838</v>
      </c>
      <c r="G681" s="29" t="n">
        <v>0.1633</v>
      </c>
      <c r="H681" s="30" t="n">
        <v>11.87</v>
      </c>
      <c r="I681" s="29" t="n">
        <v>0.0231</v>
      </c>
      <c r="J681" s="29" t="n">
        <v>0.0315</v>
      </c>
      <c r="K681" s="29" t="n">
        <v>0.0453</v>
      </c>
      <c r="L681" s="27" t="n">
        <v>16</v>
      </c>
      <c r="M681" s="27" t="n">
        <v>19642</v>
      </c>
      <c r="N681" s="30" t="n">
        <v>39.51</v>
      </c>
      <c r="O681" s="30" t="n">
        <v>9.61</v>
      </c>
      <c r="P681" s="29" t="n">
        <v>0.0096</v>
      </c>
      <c r="Q681" s="27" t="n">
        <v>340000</v>
      </c>
      <c r="R681" s="27" t="n">
        <v>169439</v>
      </c>
      <c r="S681" s="27" t="n">
        <v>172659</v>
      </c>
      <c r="T681" s="29" t="n">
        <v>0.625</v>
      </c>
      <c r="U681" s="29" t="n">
        <v>0.214</v>
      </c>
      <c r="V681" s="29" t="n">
        <v>0.843</v>
      </c>
      <c r="W681" s="28" t="n">
        <v>12.5</v>
      </c>
    </row>
    <row r="682" customFormat="false" ht="15" hidden="false" customHeight="false" outlineLevel="0" collapsed="false">
      <c r="A682" s="25" t="s">
        <v>914</v>
      </c>
      <c r="B682" s="25" t="s">
        <v>395</v>
      </c>
      <c r="C682" s="26" t="n">
        <v>46204</v>
      </c>
      <c r="D682" s="27" t="n">
        <v>18518</v>
      </c>
      <c r="E682" s="28" t="n">
        <v>626.2</v>
      </c>
      <c r="F682" s="29" t="n">
        <v>0.0847</v>
      </c>
      <c r="G682" s="29" t="n">
        <v>0.1608</v>
      </c>
      <c r="H682" s="30" t="n">
        <v>11.23</v>
      </c>
      <c r="I682" s="29" t="n">
        <v>0.022</v>
      </c>
      <c r="J682" s="29" t="n">
        <v>0.0312</v>
      </c>
      <c r="K682" s="29" t="n">
        <v>0.0314</v>
      </c>
      <c r="L682" s="27" t="n">
        <v>16</v>
      </c>
      <c r="M682" s="27" t="n">
        <v>19660</v>
      </c>
      <c r="N682" s="30" t="n">
        <v>38.42</v>
      </c>
      <c r="O682" s="30" t="n">
        <v>9.45</v>
      </c>
      <c r="P682" s="29" t="n">
        <v>0.0101</v>
      </c>
      <c r="Q682" s="27" t="n">
        <v>340000</v>
      </c>
      <c r="R682" s="27" t="n">
        <v>164421</v>
      </c>
      <c r="S682" s="27" t="n">
        <v>175728</v>
      </c>
      <c r="T682" s="29" t="n">
        <v>0.615</v>
      </c>
      <c r="U682" s="29" t="n">
        <v>0.224</v>
      </c>
      <c r="V682" s="29" t="n">
        <v>0.877</v>
      </c>
      <c r="W682" s="28" t="n">
        <v>12.3</v>
      </c>
    </row>
    <row r="683" customFormat="false" ht="15" hidden="false" customHeight="false" outlineLevel="0" collapsed="false">
      <c r="A683" s="25" t="s">
        <v>915</v>
      </c>
      <c r="B683" s="25" t="s">
        <v>395</v>
      </c>
      <c r="C683" s="26" t="n">
        <v>46235</v>
      </c>
      <c r="D683" s="27" t="n">
        <v>19434</v>
      </c>
      <c r="E683" s="28" t="n">
        <v>641.4</v>
      </c>
      <c r="F683" s="29" t="n">
        <v>0.083</v>
      </c>
      <c r="G683" s="29" t="n">
        <v>0.1613</v>
      </c>
      <c r="H683" s="30" t="n">
        <v>11.43</v>
      </c>
      <c r="I683" s="29" t="n">
        <v>0.0232</v>
      </c>
      <c r="J683" s="29" t="n">
        <v>0.0316</v>
      </c>
      <c r="K683" s="29" t="n">
        <v>0.0373</v>
      </c>
      <c r="L683" s="27" t="n">
        <v>16</v>
      </c>
      <c r="M683" s="27" t="n">
        <v>19677</v>
      </c>
      <c r="N683" s="30" t="n">
        <v>39.41</v>
      </c>
      <c r="O683" s="30" t="n">
        <v>9.91</v>
      </c>
      <c r="P683" s="29" t="n">
        <v>0.0101</v>
      </c>
      <c r="Q683" s="27" t="n">
        <v>340000</v>
      </c>
      <c r="R683" s="27" t="n">
        <v>159614</v>
      </c>
      <c r="S683" s="27" t="n">
        <v>182411</v>
      </c>
      <c r="T683" s="29" t="n">
        <v>0.641</v>
      </c>
      <c r="U683" s="29" t="n">
        <v>0.23</v>
      </c>
      <c r="V683" s="29" t="n">
        <v>0.873</v>
      </c>
      <c r="W683" s="28" t="n">
        <v>11.2</v>
      </c>
    </row>
    <row r="684" customFormat="false" ht="15" hidden="false" customHeight="false" outlineLevel="0" collapsed="false">
      <c r="A684" s="25" t="s">
        <v>916</v>
      </c>
      <c r="B684" s="25" t="s">
        <v>395</v>
      </c>
      <c r="C684" s="26" t="n">
        <v>46266</v>
      </c>
      <c r="D684" s="27" t="n">
        <v>21900</v>
      </c>
      <c r="E684" s="28" t="n">
        <v>612.9</v>
      </c>
      <c r="F684" s="29" t="n">
        <v>0.0824</v>
      </c>
      <c r="G684" s="29" t="n">
        <v>0.1666</v>
      </c>
      <c r="H684" s="30" t="n">
        <v>11.83</v>
      </c>
      <c r="I684" s="29" t="n">
        <v>0.0257</v>
      </c>
      <c r="J684" s="29" t="n">
        <v>0.0276</v>
      </c>
      <c r="K684" s="29" t="n">
        <v>0.0468</v>
      </c>
      <c r="L684" s="27" t="n">
        <v>18</v>
      </c>
      <c r="M684" s="27" t="n">
        <v>19695</v>
      </c>
      <c r="N684" s="30" t="n">
        <v>37.83</v>
      </c>
      <c r="O684" s="30" t="n">
        <v>9.91</v>
      </c>
      <c r="P684" s="29" t="n">
        <v>0.0099</v>
      </c>
      <c r="Q684" s="27" t="n">
        <v>340000</v>
      </c>
      <c r="R684" s="27" t="n">
        <v>162611</v>
      </c>
      <c r="S684" s="27" t="n">
        <v>180009</v>
      </c>
      <c r="T684" s="29" t="n">
        <v>0.645</v>
      </c>
      <c r="U684" s="29" t="n">
        <v>0.2</v>
      </c>
      <c r="V684" s="29" t="n">
        <v>0.842</v>
      </c>
      <c r="W684" s="28" t="n">
        <v>12.7</v>
      </c>
    </row>
    <row r="685" customFormat="false" ht="15" hidden="false" customHeight="false" outlineLevel="0" collapsed="false">
      <c r="A685" s="25" t="s">
        <v>917</v>
      </c>
      <c r="B685" s="25" t="s">
        <v>397</v>
      </c>
      <c r="C685" s="26" t="n">
        <v>45931</v>
      </c>
      <c r="D685" s="27" t="n">
        <v>1606</v>
      </c>
      <c r="E685" s="28" t="n">
        <v>567</v>
      </c>
      <c r="F685" s="29" t="n">
        <v>0.0917</v>
      </c>
      <c r="G685" s="29" t="n">
        <v>0.1751</v>
      </c>
      <c r="H685" s="30" t="n">
        <v>12.24</v>
      </c>
      <c r="I685" s="29" t="n">
        <v>0.0159</v>
      </c>
      <c r="J685" s="29" t="n">
        <v>0.04</v>
      </c>
      <c r="K685" s="29" t="n">
        <v>0.037</v>
      </c>
      <c r="L685" s="27" t="n">
        <v>16</v>
      </c>
      <c r="M685" s="27" t="n">
        <v>19500</v>
      </c>
      <c r="N685" s="30" t="n">
        <v>43.09</v>
      </c>
      <c r="O685" s="30" t="n">
        <v>9.48</v>
      </c>
      <c r="P685" s="29" t="n">
        <v>0.0104</v>
      </c>
      <c r="Q685" s="27" t="n">
        <v>635000</v>
      </c>
      <c r="R685" s="27" t="n">
        <v>192834</v>
      </c>
      <c r="S685" s="27" t="n">
        <v>27341</v>
      </c>
      <c r="T685" s="29" t="n">
        <v>0.581</v>
      </c>
      <c r="U685" s="29" t="n">
        <v>0.281</v>
      </c>
      <c r="V685" s="29" t="n">
        <v>0.876</v>
      </c>
      <c r="W685" s="28" t="n">
        <v>12.5</v>
      </c>
    </row>
    <row r="686" customFormat="false" ht="15" hidden="false" customHeight="false" outlineLevel="0" collapsed="false">
      <c r="A686" s="25" t="s">
        <v>918</v>
      </c>
      <c r="B686" s="25" t="s">
        <v>397</v>
      </c>
      <c r="C686" s="26" t="n">
        <v>45962</v>
      </c>
      <c r="D686" s="27" t="n">
        <v>1692</v>
      </c>
      <c r="E686" s="28" t="n">
        <v>574</v>
      </c>
      <c r="F686" s="29" t="n">
        <v>0.0903</v>
      </c>
      <c r="G686" s="29" t="n">
        <v>0.1694</v>
      </c>
      <c r="H686" s="30" t="n">
        <v>12.4</v>
      </c>
      <c r="I686" s="29" t="n">
        <v>0.0171</v>
      </c>
      <c r="J686" s="29" t="n">
        <v>0.0387</v>
      </c>
      <c r="K686" s="29" t="n">
        <v>0.0514</v>
      </c>
      <c r="L686" s="27" t="n">
        <v>16</v>
      </c>
      <c r="M686" s="27" t="n">
        <v>19518</v>
      </c>
      <c r="N686" s="30" t="n">
        <v>42.53</v>
      </c>
      <c r="O686" s="30" t="n">
        <v>9.64</v>
      </c>
      <c r="P686" s="29" t="n">
        <v>0.0099</v>
      </c>
      <c r="Q686" s="27" t="n">
        <v>635000</v>
      </c>
      <c r="R686" s="27" t="n">
        <v>186375</v>
      </c>
      <c r="S686" s="27" t="n">
        <v>30359</v>
      </c>
      <c r="T686" s="29" t="n">
        <v>0.56</v>
      </c>
      <c r="U686" s="29" t="n">
        <v>0.272</v>
      </c>
      <c r="V686" s="29" t="n">
        <v>0.853</v>
      </c>
      <c r="W686" s="28" t="n">
        <v>12.2</v>
      </c>
    </row>
    <row r="687" customFormat="false" ht="15" hidden="false" customHeight="false" outlineLevel="0" collapsed="false">
      <c r="A687" s="25" t="s">
        <v>919</v>
      </c>
      <c r="B687" s="25" t="s">
        <v>397</v>
      </c>
      <c r="C687" s="26" t="n">
        <v>45992</v>
      </c>
      <c r="D687" s="27" t="n">
        <v>1602</v>
      </c>
      <c r="E687" s="28" t="n">
        <v>565.9</v>
      </c>
      <c r="F687" s="29" t="n">
        <v>0.0913</v>
      </c>
      <c r="G687" s="29" t="n">
        <v>0.1711</v>
      </c>
      <c r="H687" s="30" t="n">
        <v>12.55</v>
      </c>
      <c r="I687" s="29" t="n">
        <v>0.0173</v>
      </c>
      <c r="J687" s="29" t="n">
        <v>0.0396</v>
      </c>
      <c r="K687" s="29" t="n">
        <v>0.0518</v>
      </c>
      <c r="L687" s="27" t="n">
        <v>16</v>
      </c>
      <c r="M687" s="27" t="n">
        <v>19535</v>
      </c>
      <c r="N687" s="30" t="n">
        <v>42.76</v>
      </c>
      <c r="O687" s="30" t="n">
        <v>9.79</v>
      </c>
      <c r="P687" s="29" t="n">
        <v>0.0102</v>
      </c>
      <c r="Q687" s="27" t="n">
        <v>635000</v>
      </c>
      <c r="R687" s="27" t="n">
        <v>197683</v>
      </c>
      <c r="S687" s="27" t="n">
        <v>27255</v>
      </c>
      <c r="T687" s="29" t="n">
        <v>0.575</v>
      </c>
      <c r="U687" s="29" t="n">
        <v>0.264</v>
      </c>
      <c r="V687" s="29" t="n">
        <v>0.843</v>
      </c>
      <c r="W687" s="28" t="n">
        <v>13</v>
      </c>
    </row>
    <row r="688" customFormat="false" ht="15" hidden="false" customHeight="false" outlineLevel="0" collapsed="false">
      <c r="A688" s="25" t="s">
        <v>920</v>
      </c>
      <c r="B688" s="25" t="s">
        <v>397</v>
      </c>
      <c r="C688" s="26" t="n">
        <v>46023</v>
      </c>
      <c r="D688" s="27" t="n">
        <v>1541</v>
      </c>
      <c r="E688" s="28" t="n">
        <v>579</v>
      </c>
      <c r="F688" s="29" t="n">
        <v>0.0873</v>
      </c>
      <c r="G688" s="29" t="n">
        <v>0.1705</v>
      </c>
      <c r="H688" s="30" t="n">
        <v>11.88</v>
      </c>
      <c r="I688" s="29" t="n">
        <v>0.0166</v>
      </c>
      <c r="J688" s="29" t="n">
        <v>0.0399</v>
      </c>
      <c r="K688" s="29" t="n">
        <v>0.0483</v>
      </c>
      <c r="L688" s="27" t="n">
        <v>16</v>
      </c>
      <c r="M688" s="27" t="n">
        <v>19553</v>
      </c>
      <c r="N688" s="30" t="n">
        <v>42.92</v>
      </c>
      <c r="O688" s="30" t="n">
        <v>9.8</v>
      </c>
      <c r="P688" s="29" t="n">
        <v>0.0102</v>
      </c>
      <c r="Q688" s="27" t="n">
        <v>635000</v>
      </c>
      <c r="R688" s="27" t="n">
        <v>192897</v>
      </c>
      <c r="S688" s="27" t="n">
        <v>27061</v>
      </c>
      <c r="T688" s="29" t="n">
        <v>0.599</v>
      </c>
      <c r="U688" s="29" t="n">
        <v>0.287</v>
      </c>
      <c r="V688" s="29" t="n">
        <v>0.85</v>
      </c>
      <c r="W688" s="28" t="n">
        <v>12.9</v>
      </c>
    </row>
    <row r="689" customFormat="false" ht="15" hidden="false" customHeight="false" outlineLevel="0" collapsed="false">
      <c r="A689" s="25" t="s">
        <v>921</v>
      </c>
      <c r="B689" s="25" t="s">
        <v>397</v>
      </c>
      <c r="C689" s="26" t="n">
        <v>46054</v>
      </c>
      <c r="D689" s="27" t="n">
        <v>1355</v>
      </c>
      <c r="E689" s="28" t="n">
        <v>575.8</v>
      </c>
      <c r="F689" s="29" t="n">
        <v>0.0888</v>
      </c>
      <c r="G689" s="29" t="n">
        <v>0.1712</v>
      </c>
      <c r="H689" s="30" t="n">
        <v>11.61</v>
      </c>
      <c r="I689" s="29" t="n">
        <v>0.0153</v>
      </c>
      <c r="J689" s="29" t="n">
        <v>0.0399</v>
      </c>
      <c r="K689" s="29" t="n">
        <v>0.0516</v>
      </c>
      <c r="L689" s="27" t="n">
        <v>16</v>
      </c>
      <c r="M689" s="27" t="n">
        <v>19571</v>
      </c>
      <c r="N689" s="30" t="n">
        <v>42.75</v>
      </c>
      <c r="O689" s="30" t="n">
        <v>9.85</v>
      </c>
      <c r="P689" s="29" t="n">
        <v>0.0105</v>
      </c>
      <c r="Q689" s="27" t="n">
        <v>635000</v>
      </c>
      <c r="R689" s="27" t="n">
        <v>186127</v>
      </c>
      <c r="S689" s="27" t="n">
        <v>24316</v>
      </c>
      <c r="T689" s="29" t="n">
        <v>0.576</v>
      </c>
      <c r="U689" s="29" t="n">
        <v>0.271</v>
      </c>
      <c r="V689" s="29" t="n">
        <v>0.849</v>
      </c>
      <c r="W689" s="28" t="n">
        <v>12.7</v>
      </c>
    </row>
    <row r="690" customFormat="false" ht="15" hidden="false" customHeight="false" outlineLevel="0" collapsed="false">
      <c r="A690" s="25" t="s">
        <v>922</v>
      </c>
      <c r="B690" s="25" t="s">
        <v>397</v>
      </c>
      <c r="C690" s="26" t="n">
        <v>46082</v>
      </c>
      <c r="D690" s="27" t="n">
        <v>1717</v>
      </c>
      <c r="E690" s="28" t="n">
        <v>574.3</v>
      </c>
      <c r="F690" s="29" t="n">
        <v>0.0925</v>
      </c>
      <c r="G690" s="29" t="n">
        <v>0.1692</v>
      </c>
      <c r="H690" s="30" t="n">
        <v>11.98</v>
      </c>
      <c r="I690" s="29" t="n">
        <v>0.0181</v>
      </c>
      <c r="J690" s="29" t="n">
        <v>0.0387</v>
      </c>
      <c r="K690" s="29" t="n">
        <v>0.0543</v>
      </c>
      <c r="L690" s="27" t="n">
        <v>16</v>
      </c>
      <c r="M690" s="27" t="n">
        <v>19589</v>
      </c>
      <c r="N690" s="30" t="n">
        <v>42.78</v>
      </c>
      <c r="O690" s="30" t="n">
        <v>9.77</v>
      </c>
      <c r="P690" s="29" t="n">
        <v>0.0099</v>
      </c>
      <c r="Q690" s="27" t="n">
        <v>635000</v>
      </c>
      <c r="R690" s="27" t="n">
        <v>190352</v>
      </c>
      <c r="S690" s="27" t="n">
        <v>30454</v>
      </c>
      <c r="T690" s="29" t="n">
        <v>0.591</v>
      </c>
      <c r="U690" s="29" t="n">
        <v>0.261</v>
      </c>
      <c r="V690" s="29" t="n">
        <v>0.842</v>
      </c>
      <c r="W690" s="28" t="n">
        <v>12.4</v>
      </c>
    </row>
    <row r="691" customFormat="false" ht="15" hidden="false" customHeight="false" outlineLevel="0" collapsed="false">
      <c r="A691" s="25" t="s">
        <v>923</v>
      </c>
      <c r="B691" s="25" t="s">
        <v>397</v>
      </c>
      <c r="C691" s="26" t="n">
        <v>46113</v>
      </c>
      <c r="D691" s="27" t="n">
        <v>1668</v>
      </c>
      <c r="E691" s="28" t="n">
        <v>574.2</v>
      </c>
      <c r="F691" s="29" t="n">
        <v>0.0888</v>
      </c>
      <c r="G691" s="29" t="n">
        <v>0.1698</v>
      </c>
      <c r="H691" s="30" t="n">
        <v>11.99</v>
      </c>
      <c r="I691" s="29" t="n">
        <v>0.0166</v>
      </c>
      <c r="J691" s="29" t="n">
        <v>0.0403</v>
      </c>
      <c r="K691" s="29" t="n">
        <v>0.0476</v>
      </c>
      <c r="L691" s="27" t="n">
        <v>16</v>
      </c>
      <c r="M691" s="27" t="n">
        <v>19606</v>
      </c>
      <c r="N691" s="30" t="n">
        <v>43.34</v>
      </c>
      <c r="O691" s="30" t="n">
        <v>9.65</v>
      </c>
      <c r="P691" s="29" t="n">
        <v>0.0097</v>
      </c>
      <c r="Q691" s="27" t="n">
        <v>635000</v>
      </c>
      <c r="R691" s="27" t="n">
        <v>183469</v>
      </c>
      <c r="S691" s="27" t="n">
        <v>28441</v>
      </c>
      <c r="T691" s="29" t="n">
        <v>0.578</v>
      </c>
      <c r="U691" s="29" t="n">
        <v>0.295</v>
      </c>
      <c r="V691" s="29" t="n">
        <v>0.842</v>
      </c>
      <c r="W691" s="28" t="n">
        <v>12.1</v>
      </c>
    </row>
    <row r="692" customFormat="false" ht="15" hidden="false" customHeight="false" outlineLevel="0" collapsed="false">
      <c r="A692" s="25" t="s">
        <v>924</v>
      </c>
      <c r="B692" s="25" t="s">
        <v>397</v>
      </c>
      <c r="C692" s="26" t="n">
        <v>46143</v>
      </c>
      <c r="D692" s="27" t="n">
        <v>1621</v>
      </c>
      <c r="E692" s="28" t="n">
        <v>580.3</v>
      </c>
      <c r="F692" s="29" t="n">
        <v>0.0913</v>
      </c>
      <c r="G692" s="29" t="n">
        <v>0.167</v>
      </c>
      <c r="H692" s="30" t="n">
        <v>12.34</v>
      </c>
      <c r="I692" s="29" t="n">
        <v>0.0171</v>
      </c>
      <c r="J692" s="29" t="n">
        <v>0.0396</v>
      </c>
      <c r="K692" s="29" t="n">
        <v>0.0512</v>
      </c>
      <c r="L692" s="27" t="n">
        <v>16</v>
      </c>
      <c r="M692" s="27" t="n">
        <v>19624</v>
      </c>
      <c r="N692" s="30" t="n">
        <v>42.51</v>
      </c>
      <c r="O692" s="30" t="n">
        <v>9.58</v>
      </c>
      <c r="P692" s="29" t="n">
        <v>0.0099</v>
      </c>
      <c r="Q692" s="27" t="n">
        <v>635000</v>
      </c>
      <c r="R692" s="27" t="n">
        <v>188204</v>
      </c>
      <c r="S692" s="27" t="n">
        <v>28746</v>
      </c>
      <c r="T692" s="29" t="n">
        <v>0.608</v>
      </c>
      <c r="U692" s="29" t="n">
        <v>0.267</v>
      </c>
      <c r="V692" s="29" t="n">
        <v>0.846</v>
      </c>
      <c r="W692" s="28" t="n">
        <v>12.4</v>
      </c>
    </row>
    <row r="693" customFormat="false" ht="15" hidden="false" customHeight="false" outlineLevel="0" collapsed="false">
      <c r="A693" s="25" t="s">
        <v>925</v>
      </c>
      <c r="B693" s="25" t="s">
        <v>397</v>
      </c>
      <c r="C693" s="26" t="n">
        <v>46174</v>
      </c>
      <c r="D693" s="27" t="n">
        <v>1700</v>
      </c>
      <c r="E693" s="28" t="n">
        <v>606</v>
      </c>
      <c r="F693" s="29" t="n">
        <v>0.0897</v>
      </c>
      <c r="G693" s="29" t="n">
        <v>0.1682</v>
      </c>
      <c r="H693" s="30" t="n">
        <v>12.28</v>
      </c>
      <c r="I693" s="29" t="n">
        <v>0.0173</v>
      </c>
      <c r="J693" s="29" t="n">
        <v>0.0411</v>
      </c>
      <c r="K693" s="29" t="n">
        <v>0.0446</v>
      </c>
      <c r="L693" s="27" t="n">
        <v>16</v>
      </c>
      <c r="M693" s="27" t="n">
        <v>19642</v>
      </c>
      <c r="N693" s="30" t="n">
        <v>42.73</v>
      </c>
      <c r="O693" s="30" t="n">
        <v>9.68</v>
      </c>
      <c r="P693" s="29" t="n">
        <v>0.0104</v>
      </c>
      <c r="Q693" s="27" t="n">
        <v>635000</v>
      </c>
      <c r="R693" s="27" t="n">
        <v>189919</v>
      </c>
      <c r="S693" s="27" t="n">
        <v>31107</v>
      </c>
      <c r="T693" s="29" t="n">
        <v>0.569</v>
      </c>
      <c r="U693" s="29" t="n">
        <v>0.266</v>
      </c>
      <c r="V693" s="29" t="n">
        <v>0.863</v>
      </c>
      <c r="W693" s="28" t="n">
        <v>12.2</v>
      </c>
    </row>
    <row r="694" customFormat="false" ht="15" hidden="false" customHeight="false" outlineLevel="0" collapsed="false">
      <c r="A694" s="25" t="s">
        <v>926</v>
      </c>
      <c r="B694" s="25" t="s">
        <v>397</v>
      </c>
      <c r="C694" s="26" t="n">
        <v>46204</v>
      </c>
      <c r="D694" s="27" t="n">
        <v>3041</v>
      </c>
      <c r="E694" s="28" t="n">
        <v>581.4</v>
      </c>
      <c r="F694" s="29" t="n">
        <v>0.0862</v>
      </c>
      <c r="G694" s="29" t="n">
        <v>0.1704</v>
      </c>
      <c r="H694" s="30" t="n">
        <v>11.96</v>
      </c>
      <c r="I694" s="29" t="n">
        <v>0.0158</v>
      </c>
      <c r="J694" s="29" t="n">
        <v>0.0393</v>
      </c>
      <c r="K694" s="29" t="n">
        <v>0.0524</v>
      </c>
      <c r="L694" s="27" t="n">
        <v>16</v>
      </c>
      <c r="M694" s="27" t="n">
        <v>19660</v>
      </c>
      <c r="N694" s="30" t="n">
        <v>42.87</v>
      </c>
      <c r="O694" s="30" t="n">
        <v>9.99</v>
      </c>
      <c r="P694" s="29" t="n">
        <v>0.01</v>
      </c>
      <c r="Q694" s="27" t="n">
        <v>635000</v>
      </c>
      <c r="R694" s="27" t="n">
        <v>188336</v>
      </c>
      <c r="S694" s="27" t="n">
        <v>49682</v>
      </c>
      <c r="T694" s="29" t="n">
        <v>0.589</v>
      </c>
      <c r="U694" s="29" t="n">
        <v>0.275</v>
      </c>
      <c r="V694" s="29" t="n">
        <v>0.837</v>
      </c>
      <c r="W694" s="28" t="n">
        <v>12.4</v>
      </c>
    </row>
    <row r="695" customFormat="false" ht="15" hidden="false" customHeight="false" outlineLevel="0" collapsed="false">
      <c r="A695" s="25" t="s">
        <v>927</v>
      </c>
      <c r="B695" s="25" t="s">
        <v>397</v>
      </c>
      <c r="C695" s="26" t="n">
        <v>46235</v>
      </c>
      <c r="D695" s="27" t="n">
        <v>4507</v>
      </c>
      <c r="E695" s="28" t="n">
        <v>573.5</v>
      </c>
      <c r="F695" s="29" t="n">
        <v>0.0794</v>
      </c>
      <c r="G695" s="29" t="n">
        <v>0.1699</v>
      </c>
      <c r="H695" s="30" t="n">
        <v>13.66</v>
      </c>
      <c r="I695" s="29" t="n">
        <v>0.0172</v>
      </c>
      <c r="J695" s="29" t="n">
        <v>0.0378</v>
      </c>
      <c r="K695" s="29" t="n">
        <v>0.0483</v>
      </c>
      <c r="L695" s="27" t="n">
        <v>16</v>
      </c>
      <c r="M695" s="27" t="n">
        <v>19677</v>
      </c>
      <c r="N695" s="30" t="n">
        <v>42.11</v>
      </c>
      <c r="O695" s="30" t="n">
        <v>9.6</v>
      </c>
      <c r="P695" s="29" t="n">
        <v>0.0104</v>
      </c>
      <c r="Q695" s="27" t="n">
        <v>635000</v>
      </c>
      <c r="R695" s="27" t="n">
        <v>190195</v>
      </c>
      <c r="S695" s="27" t="n">
        <v>67210</v>
      </c>
      <c r="T695" s="29" t="n">
        <v>0.62</v>
      </c>
      <c r="U695" s="29" t="n">
        <v>0.274</v>
      </c>
      <c r="V695" s="29" t="n">
        <v>0.871</v>
      </c>
      <c r="W695" s="28" t="n">
        <v>11.9</v>
      </c>
    </row>
    <row r="696" customFormat="false" ht="15" hidden="false" customHeight="false" outlineLevel="0" collapsed="false">
      <c r="A696" s="25" t="s">
        <v>928</v>
      </c>
      <c r="B696" s="25" t="s">
        <v>397</v>
      </c>
      <c r="C696" s="26" t="n">
        <v>46266</v>
      </c>
      <c r="D696" s="27" t="n">
        <v>5849</v>
      </c>
      <c r="E696" s="28" t="n">
        <v>597.8</v>
      </c>
      <c r="F696" s="29" t="n">
        <v>0.0802</v>
      </c>
      <c r="G696" s="29" t="n">
        <v>0.1711</v>
      </c>
      <c r="H696" s="30" t="n">
        <v>12.13</v>
      </c>
      <c r="I696" s="29" t="n">
        <v>0.0187</v>
      </c>
      <c r="J696" s="29" t="n">
        <v>0.0367</v>
      </c>
      <c r="K696" s="29" t="n">
        <v>0.0447</v>
      </c>
      <c r="L696" s="27" t="n">
        <v>16</v>
      </c>
      <c r="M696" s="27" t="n">
        <v>19695</v>
      </c>
      <c r="N696" s="30" t="n">
        <v>41.99</v>
      </c>
      <c r="O696" s="30" t="n">
        <v>10.21</v>
      </c>
      <c r="P696" s="29" t="n">
        <v>0.0099</v>
      </c>
      <c r="Q696" s="27" t="n">
        <v>635000</v>
      </c>
      <c r="R696" s="27" t="n">
        <v>194542</v>
      </c>
      <c r="S696" s="27" t="n">
        <v>80452</v>
      </c>
      <c r="T696" s="29" t="n">
        <v>0.642</v>
      </c>
      <c r="U696" s="29" t="n">
        <v>0.28</v>
      </c>
      <c r="V696" s="29" t="n">
        <v>0.861</v>
      </c>
      <c r="W696" s="28" t="n">
        <v>12.7</v>
      </c>
    </row>
    <row r="697" customFormat="false" ht="15" hidden="false" customHeight="false" outlineLevel="0" collapsed="false">
      <c r="A697" s="25" t="s">
        <v>929</v>
      </c>
      <c r="B697" s="25" t="s">
        <v>398</v>
      </c>
      <c r="C697" s="26" t="n">
        <v>45931</v>
      </c>
      <c r="D697" s="27" t="n">
        <v>16979</v>
      </c>
      <c r="E697" s="28" t="n">
        <v>603.4</v>
      </c>
      <c r="F697" s="29" t="n">
        <v>0.0805</v>
      </c>
      <c r="G697" s="29" t="n">
        <v>0.1679</v>
      </c>
      <c r="H697" s="30" t="n">
        <v>12.92</v>
      </c>
      <c r="I697" s="29" t="n">
        <v>0.023</v>
      </c>
      <c r="J697" s="29" t="n">
        <v>0.0268</v>
      </c>
      <c r="K697" s="29" t="n">
        <v>0.0294</v>
      </c>
      <c r="L697" s="27" t="n">
        <v>16</v>
      </c>
      <c r="M697" s="27" t="n">
        <v>19500</v>
      </c>
      <c r="N697" s="30" t="n">
        <v>36.9</v>
      </c>
      <c r="O697" s="30" t="n">
        <v>9.9</v>
      </c>
      <c r="P697" s="29" t="n">
        <v>0.0103</v>
      </c>
      <c r="Q697" s="27" t="n">
        <v>634500</v>
      </c>
      <c r="R697" s="27" t="n">
        <v>183404</v>
      </c>
      <c r="S697" s="27" t="n">
        <v>231788</v>
      </c>
      <c r="T697" s="29" t="n">
        <v>0.633</v>
      </c>
      <c r="U697" s="29" t="n">
        <v>0.308</v>
      </c>
      <c r="V697" s="29" t="n">
        <v>0.891</v>
      </c>
      <c r="W697" s="28" t="n">
        <v>11.3</v>
      </c>
    </row>
    <row r="698" customFormat="false" ht="15" hidden="false" customHeight="false" outlineLevel="0" collapsed="false">
      <c r="A698" s="25" t="s">
        <v>930</v>
      </c>
      <c r="B698" s="25" t="s">
        <v>398</v>
      </c>
      <c r="C698" s="26" t="n">
        <v>45962</v>
      </c>
      <c r="D698" s="27" t="n">
        <v>19638</v>
      </c>
      <c r="E698" s="28" t="n">
        <v>605.6</v>
      </c>
      <c r="F698" s="29" t="n">
        <v>0.0838</v>
      </c>
      <c r="G698" s="29" t="n">
        <v>0.1686</v>
      </c>
      <c r="H698" s="30" t="n">
        <v>13.13</v>
      </c>
      <c r="I698" s="29" t="n">
        <v>0.0233</v>
      </c>
      <c r="J698" s="29" t="n">
        <v>0.0261</v>
      </c>
      <c r="K698" s="29" t="n">
        <v>0.0347</v>
      </c>
      <c r="L698" s="27" t="n">
        <v>16</v>
      </c>
      <c r="M698" s="27" t="n">
        <v>19518</v>
      </c>
      <c r="N698" s="30" t="n">
        <v>36.24</v>
      </c>
      <c r="O698" s="30" t="n">
        <v>9.92</v>
      </c>
      <c r="P698" s="29" t="n">
        <v>0.0102</v>
      </c>
      <c r="Q698" s="27" t="n">
        <v>634500</v>
      </c>
      <c r="R698" s="27" t="n">
        <v>178847</v>
      </c>
      <c r="S698" s="27" t="n">
        <v>251179</v>
      </c>
      <c r="T698" s="29" t="n">
        <v>0.678</v>
      </c>
      <c r="U698" s="29" t="n">
        <v>0.332</v>
      </c>
      <c r="V698" s="29" t="n">
        <v>0.861</v>
      </c>
      <c r="W698" s="28" t="n">
        <v>12.1</v>
      </c>
    </row>
    <row r="699" customFormat="false" ht="15" hidden="false" customHeight="false" outlineLevel="0" collapsed="false">
      <c r="A699" s="25" t="s">
        <v>931</v>
      </c>
      <c r="B699" s="25" t="s">
        <v>398</v>
      </c>
      <c r="C699" s="26" t="n">
        <v>45992</v>
      </c>
      <c r="D699" s="27" t="n">
        <v>23153</v>
      </c>
      <c r="E699" s="28" t="n">
        <v>610.4</v>
      </c>
      <c r="F699" s="29" t="n">
        <v>0.0771</v>
      </c>
      <c r="G699" s="29" t="n">
        <v>0.167</v>
      </c>
      <c r="H699" s="30" t="n">
        <v>13.62</v>
      </c>
      <c r="I699" s="29" t="n">
        <v>0.0253</v>
      </c>
      <c r="J699" s="29" t="n">
        <v>0.0236</v>
      </c>
      <c r="K699" s="29" t="n">
        <v>0.0282</v>
      </c>
      <c r="L699" s="27" t="n">
        <v>16</v>
      </c>
      <c r="M699" s="27" t="n">
        <v>19535</v>
      </c>
      <c r="N699" s="30" t="n">
        <v>35.19</v>
      </c>
      <c r="O699" s="30" t="n">
        <v>9.89</v>
      </c>
      <c r="P699" s="29" t="n">
        <v>0.0108</v>
      </c>
      <c r="Q699" s="27" t="n">
        <v>634500</v>
      </c>
      <c r="R699" s="27" t="n">
        <v>178719</v>
      </c>
      <c r="S699" s="27" t="n">
        <v>289880</v>
      </c>
      <c r="T699" s="29" t="n">
        <v>0.661</v>
      </c>
      <c r="U699" s="29" t="n">
        <v>0.313</v>
      </c>
      <c r="V699" s="29" t="n">
        <v>0.869</v>
      </c>
      <c r="W699" s="28" t="n">
        <v>11.7</v>
      </c>
    </row>
    <row r="700" customFormat="false" ht="15" hidden="false" customHeight="false" outlineLevel="0" collapsed="false">
      <c r="A700" s="25" t="s">
        <v>932</v>
      </c>
      <c r="B700" s="25" t="s">
        <v>398</v>
      </c>
      <c r="C700" s="26" t="n">
        <v>46023</v>
      </c>
      <c r="D700" s="27" t="n">
        <v>25916</v>
      </c>
      <c r="E700" s="28" t="n">
        <v>602.7</v>
      </c>
      <c r="F700" s="29" t="n">
        <v>0.0748</v>
      </c>
      <c r="G700" s="29" t="n">
        <v>0.1659</v>
      </c>
      <c r="H700" s="30" t="n">
        <v>12.85</v>
      </c>
      <c r="I700" s="29" t="n">
        <v>0.0256</v>
      </c>
      <c r="J700" s="29" t="n">
        <v>0.0198</v>
      </c>
      <c r="K700" s="29" t="n">
        <v>0.0268</v>
      </c>
      <c r="L700" s="27" t="n">
        <v>17</v>
      </c>
      <c r="M700" s="27" t="n">
        <v>19553</v>
      </c>
      <c r="N700" s="30" t="n">
        <v>35.01</v>
      </c>
      <c r="O700" s="30" t="n">
        <v>9.91</v>
      </c>
      <c r="P700" s="29" t="n">
        <v>0.01</v>
      </c>
      <c r="Q700" s="27" t="n">
        <v>634500</v>
      </c>
      <c r="R700" s="27" t="n">
        <v>179203</v>
      </c>
      <c r="S700" s="27" t="n">
        <v>281536</v>
      </c>
      <c r="T700" s="29" t="n">
        <v>0.715</v>
      </c>
      <c r="U700" s="29" t="n">
        <v>0.308</v>
      </c>
      <c r="V700" s="29" t="n">
        <v>0.898</v>
      </c>
      <c r="W700" s="28" t="n">
        <v>11.4</v>
      </c>
    </row>
    <row r="701" customFormat="false" ht="15" hidden="false" customHeight="false" outlineLevel="0" collapsed="false">
      <c r="A701" s="25" t="s">
        <v>933</v>
      </c>
      <c r="B701" s="25" t="s">
        <v>398</v>
      </c>
      <c r="C701" s="26" t="n">
        <v>46054</v>
      </c>
      <c r="D701" s="27" t="n">
        <v>24059</v>
      </c>
      <c r="E701" s="28" t="n">
        <v>613.1</v>
      </c>
      <c r="F701" s="29" t="n">
        <v>0.0766</v>
      </c>
      <c r="G701" s="29" t="n">
        <v>0.1675</v>
      </c>
      <c r="H701" s="30" t="n">
        <v>12.33</v>
      </c>
      <c r="I701" s="29" t="n">
        <v>0.0259</v>
      </c>
      <c r="J701" s="29" t="n">
        <v>0.0226</v>
      </c>
      <c r="K701" s="29" t="n">
        <v>0.0396</v>
      </c>
      <c r="L701" s="27" t="n">
        <v>17</v>
      </c>
      <c r="M701" s="27" t="n">
        <v>19571</v>
      </c>
      <c r="N701" s="30" t="n">
        <v>33.89</v>
      </c>
      <c r="O701" s="30" t="n">
        <v>9.89</v>
      </c>
      <c r="P701" s="29" t="n">
        <v>0.0103</v>
      </c>
      <c r="Q701" s="27" t="n">
        <v>634500</v>
      </c>
      <c r="R701" s="27" t="n">
        <v>187868</v>
      </c>
      <c r="S701" s="27" t="n">
        <v>242518</v>
      </c>
      <c r="T701" s="29" t="n">
        <v>0.71</v>
      </c>
      <c r="U701" s="29" t="n">
        <v>0.31</v>
      </c>
      <c r="V701" s="29" t="n">
        <v>0.861</v>
      </c>
      <c r="W701" s="28" t="n">
        <v>12</v>
      </c>
    </row>
    <row r="702" customFormat="false" ht="15" hidden="false" customHeight="false" outlineLevel="0" collapsed="false">
      <c r="A702" s="25" t="s">
        <v>934</v>
      </c>
      <c r="B702" s="25" t="s">
        <v>398</v>
      </c>
      <c r="C702" s="26" t="n">
        <v>46082</v>
      </c>
      <c r="D702" s="27" t="n">
        <v>31201</v>
      </c>
      <c r="E702" s="28" t="n">
        <v>626.8</v>
      </c>
      <c r="F702" s="29" t="n">
        <v>0.0734</v>
      </c>
      <c r="G702" s="29" t="n">
        <v>0.1682</v>
      </c>
      <c r="H702" s="30" t="n">
        <v>12.62</v>
      </c>
      <c r="I702" s="29" t="n">
        <v>0.0281</v>
      </c>
      <c r="J702" s="29" t="n">
        <v>0.0192</v>
      </c>
      <c r="K702" s="29" t="n">
        <v>0.0291</v>
      </c>
      <c r="L702" s="27" t="n">
        <v>22</v>
      </c>
      <c r="M702" s="27" t="n">
        <v>19589</v>
      </c>
      <c r="N702" s="30" t="n">
        <v>33.62</v>
      </c>
      <c r="O702" s="30" t="n">
        <v>10.12</v>
      </c>
      <c r="P702" s="29" t="n">
        <v>0.0103</v>
      </c>
      <c r="Q702" s="27" t="n">
        <v>634500</v>
      </c>
      <c r="R702" s="27" t="n">
        <v>174025</v>
      </c>
      <c r="S702" s="27" t="n">
        <v>301931</v>
      </c>
      <c r="T702" s="29" t="n">
        <v>0.7</v>
      </c>
      <c r="U702" s="29" t="n">
        <v>0.323</v>
      </c>
      <c r="V702" s="29" t="n">
        <v>0.891</v>
      </c>
      <c r="W702" s="28" t="n">
        <v>11.7</v>
      </c>
    </row>
    <row r="703" customFormat="false" ht="15" hidden="false" customHeight="false" outlineLevel="0" collapsed="false">
      <c r="A703" s="25" t="s">
        <v>935</v>
      </c>
      <c r="B703" s="25" t="s">
        <v>398</v>
      </c>
      <c r="C703" s="26" t="n">
        <v>46113</v>
      </c>
      <c r="D703" s="27" t="n">
        <v>30533</v>
      </c>
      <c r="E703" s="28" t="n">
        <v>601.8</v>
      </c>
      <c r="F703" s="29" t="n">
        <v>0.0756</v>
      </c>
      <c r="G703" s="29" t="n">
        <v>0.1652</v>
      </c>
      <c r="H703" s="30" t="n">
        <v>12.28</v>
      </c>
      <c r="I703" s="29" t="n">
        <v>0.029</v>
      </c>
      <c r="J703" s="29" t="n">
        <v>0.0203</v>
      </c>
      <c r="K703" s="29" t="n">
        <v>0.0335</v>
      </c>
      <c r="L703" s="27" t="n">
        <v>22</v>
      </c>
      <c r="M703" s="27" t="n">
        <v>19606</v>
      </c>
      <c r="N703" s="30" t="n">
        <v>33.8</v>
      </c>
      <c r="O703" s="30" t="n">
        <v>10.08</v>
      </c>
      <c r="P703" s="29" t="n">
        <v>0.0102</v>
      </c>
      <c r="Q703" s="27" t="n">
        <v>634500</v>
      </c>
      <c r="R703" s="27" t="n">
        <v>174348</v>
      </c>
      <c r="S703" s="27" t="n">
        <v>237828</v>
      </c>
      <c r="T703" s="29" t="n">
        <v>0.749</v>
      </c>
      <c r="U703" s="29" t="n">
        <v>0.321</v>
      </c>
      <c r="V703" s="29" t="n">
        <v>0.87</v>
      </c>
      <c r="W703" s="28" t="n">
        <v>12.3</v>
      </c>
    </row>
    <row r="704" customFormat="false" ht="15" hidden="false" customHeight="false" outlineLevel="0" collapsed="false">
      <c r="A704" s="25" t="s">
        <v>936</v>
      </c>
      <c r="B704" s="25" t="s">
        <v>398</v>
      </c>
      <c r="C704" s="26" t="n">
        <v>46143</v>
      </c>
      <c r="D704" s="27" t="n">
        <v>37170</v>
      </c>
      <c r="E704" s="28" t="n">
        <v>609.8</v>
      </c>
      <c r="F704" s="29" t="n">
        <v>0.0712</v>
      </c>
      <c r="G704" s="29" t="n">
        <v>0.166</v>
      </c>
      <c r="H704" s="30" t="n">
        <v>12.67</v>
      </c>
      <c r="I704" s="29" t="n">
        <v>0.0302</v>
      </c>
      <c r="J704" s="29" t="n">
        <v>0.0197</v>
      </c>
      <c r="K704" s="29" t="n">
        <v>0.0352</v>
      </c>
      <c r="L704" s="27" t="n">
        <v>26</v>
      </c>
      <c r="M704" s="27" t="n">
        <v>19624</v>
      </c>
      <c r="N704" s="30" t="n">
        <v>32.83</v>
      </c>
      <c r="O704" s="30" t="n">
        <v>9.84</v>
      </c>
      <c r="P704" s="29" t="n">
        <v>0.0097</v>
      </c>
      <c r="Q704" s="27" t="n">
        <v>634500</v>
      </c>
      <c r="R704" s="27" t="n">
        <v>180907</v>
      </c>
      <c r="S704" s="27" t="n">
        <v>295886</v>
      </c>
      <c r="T704" s="29" t="n">
        <v>0.766</v>
      </c>
      <c r="U704" s="29" t="n">
        <v>0.332</v>
      </c>
      <c r="V704" s="29" t="n">
        <v>0.887</v>
      </c>
      <c r="W704" s="28" t="n">
        <v>11.9</v>
      </c>
    </row>
    <row r="705" customFormat="false" ht="15" hidden="false" customHeight="false" outlineLevel="0" collapsed="false">
      <c r="A705" s="25" t="s">
        <v>937</v>
      </c>
      <c r="B705" s="25" t="s">
        <v>398</v>
      </c>
      <c r="C705" s="26" t="n">
        <v>46174</v>
      </c>
      <c r="D705" s="27" t="n">
        <v>36859</v>
      </c>
      <c r="E705" s="28" t="n">
        <v>611.8</v>
      </c>
      <c r="F705" s="29" t="n">
        <v>0.0681</v>
      </c>
      <c r="G705" s="29" t="n">
        <v>0.1683</v>
      </c>
      <c r="H705" s="30" t="n">
        <v>13.43</v>
      </c>
      <c r="I705" s="29" t="n">
        <v>0.0298</v>
      </c>
      <c r="J705" s="29" t="n">
        <v>0.0211</v>
      </c>
      <c r="K705" s="29" t="n">
        <v>0.0267</v>
      </c>
      <c r="L705" s="27" t="n">
        <v>24</v>
      </c>
      <c r="M705" s="27" t="n">
        <v>19642</v>
      </c>
      <c r="N705" s="30" t="n">
        <v>32.47</v>
      </c>
      <c r="O705" s="30" t="n">
        <v>9.76</v>
      </c>
      <c r="P705" s="29" t="n">
        <v>0.0103</v>
      </c>
      <c r="Q705" s="27" t="n">
        <v>634500</v>
      </c>
      <c r="R705" s="27" t="n">
        <v>175229</v>
      </c>
      <c r="S705" s="27" t="n">
        <v>289529</v>
      </c>
      <c r="T705" s="29" t="n">
        <v>0.759</v>
      </c>
      <c r="U705" s="29" t="n">
        <v>0.32</v>
      </c>
      <c r="V705" s="29" t="n">
        <v>0.888</v>
      </c>
      <c r="W705" s="28" t="n">
        <v>11.3</v>
      </c>
    </row>
    <row r="706" customFormat="false" ht="15" hidden="false" customHeight="false" outlineLevel="0" collapsed="false">
      <c r="A706" s="25" t="s">
        <v>938</v>
      </c>
      <c r="B706" s="25" t="s">
        <v>398</v>
      </c>
      <c r="C706" s="26" t="n">
        <v>46204</v>
      </c>
      <c r="D706" s="27" t="n">
        <v>37760</v>
      </c>
      <c r="E706" s="28" t="n">
        <v>619.2</v>
      </c>
      <c r="F706" s="29" t="n">
        <v>0.0674</v>
      </c>
      <c r="G706" s="29" t="n">
        <v>0.165</v>
      </c>
      <c r="H706" s="30" t="n">
        <v>13.85</v>
      </c>
      <c r="I706" s="29" t="n">
        <v>0.0298</v>
      </c>
      <c r="J706" s="29" t="n">
        <v>0.0207</v>
      </c>
      <c r="K706" s="29" t="n">
        <v>0.038</v>
      </c>
      <c r="L706" s="27" t="n">
        <v>25</v>
      </c>
      <c r="M706" s="27" t="n">
        <v>19660</v>
      </c>
      <c r="N706" s="30" t="n">
        <v>33</v>
      </c>
      <c r="O706" s="30" t="n">
        <v>10.1</v>
      </c>
      <c r="P706" s="29" t="n">
        <v>0.0097</v>
      </c>
      <c r="Q706" s="27" t="n">
        <v>634500</v>
      </c>
      <c r="R706" s="27" t="n">
        <v>165816</v>
      </c>
      <c r="S706" s="27" t="n">
        <v>281365</v>
      </c>
      <c r="T706" s="29" t="n">
        <v>0.738</v>
      </c>
      <c r="U706" s="29" t="n">
        <v>0.314</v>
      </c>
      <c r="V706" s="29" t="n">
        <v>0.845</v>
      </c>
      <c r="W706" s="28" t="n">
        <v>12.4</v>
      </c>
    </row>
    <row r="707" customFormat="false" ht="15" hidden="false" customHeight="false" outlineLevel="0" collapsed="false">
      <c r="A707" s="25" t="s">
        <v>939</v>
      </c>
      <c r="B707" s="25" t="s">
        <v>398</v>
      </c>
      <c r="C707" s="26" t="n">
        <v>46235</v>
      </c>
      <c r="D707" s="27" t="n">
        <v>39591</v>
      </c>
      <c r="E707" s="28" t="n">
        <v>613.7</v>
      </c>
      <c r="F707" s="29" t="n">
        <v>0.0686</v>
      </c>
      <c r="G707" s="29" t="n">
        <v>0.1682</v>
      </c>
      <c r="H707" s="30" t="n">
        <v>12.04</v>
      </c>
      <c r="I707" s="29" t="n">
        <v>0.03</v>
      </c>
      <c r="J707" s="29" t="n">
        <v>0.0209</v>
      </c>
      <c r="K707" s="29" t="n">
        <v>0.0358</v>
      </c>
      <c r="L707" s="27" t="n">
        <v>29</v>
      </c>
      <c r="M707" s="27" t="n">
        <v>19677</v>
      </c>
      <c r="N707" s="30" t="n">
        <v>32.71</v>
      </c>
      <c r="O707" s="30" t="n">
        <v>9.64</v>
      </c>
      <c r="P707" s="29" t="n">
        <v>0.0098</v>
      </c>
      <c r="Q707" s="27" t="n">
        <v>634500</v>
      </c>
      <c r="R707" s="27" t="n">
        <v>182467</v>
      </c>
      <c r="S707" s="27" t="n">
        <v>296669</v>
      </c>
      <c r="T707" s="29" t="n">
        <v>0.804</v>
      </c>
      <c r="U707" s="29" t="n">
        <v>0.316</v>
      </c>
      <c r="V707" s="29" t="n">
        <v>0.863</v>
      </c>
      <c r="W707" s="28" t="n">
        <v>11.6</v>
      </c>
    </row>
    <row r="708" customFormat="false" ht="15" hidden="false" customHeight="false" outlineLevel="0" collapsed="false">
      <c r="A708" s="25" t="s">
        <v>940</v>
      </c>
      <c r="B708" s="25" t="s">
        <v>398</v>
      </c>
      <c r="C708" s="26" t="n">
        <v>46266</v>
      </c>
      <c r="D708" s="27" t="n">
        <v>41167</v>
      </c>
      <c r="E708" s="28" t="n">
        <v>610.4</v>
      </c>
      <c r="F708" s="29" t="n">
        <v>0.0688</v>
      </c>
      <c r="G708" s="29" t="n">
        <v>0.1671</v>
      </c>
      <c r="H708" s="30" t="n">
        <v>12.62</v>
      </c>
      <c r="I708" s="29" t="n">
        <v>0.0331</v>
      </c>
      <c r="J708" s="29" t="n">
        <v>0.0193</v>
      </c>
      <c r="K708" s="29" t="n">
        <v>0.0318</v>
      </c>
      <c r="L708" s="27" t="n">
        <v>31</v>
      </c>
      <c r="M708" s="27" t="n">
        <v>19695</v>
      </c>
      <c r="N708" s="30" t="n">
        <v>32.6</v>
      </c>
      <c r="O708" s="30" t="n">
        <v>9.71</v>
      </c>
      <c r="P708" s="29" t="n">
        <v>0.0102</v>
      </c>
      <c r="Q708" s="27" t="n">
        <v>634500</v>
      </c>
      <c r="R708" s="27" t="n">
        <v>189702</v>
      </c>
      <c r="S708" s="27" t="n">
        <v>267863</v>
      </c>
      <c r="T708" s="29" t="n">
        <v>0.769</v>
      </c>
      <c r="U708" s="29" t="n">
        <v>0.298</v>
      </c>
      <c r="V708" s="29" t="n">
        <v>0.882</v>
      </c>
      <c r="W708" s="28" t="n">
        <v>12</v>
      </c>
    </row>
    <row r="709" customFormat="false" ht="15" hidden="false" customHeight="false" outlineLevel="0" collapsed="false">
      <c r="A709" s="25" t="s">
        <v>941</v>
      </c>
      <c r="B709" s="25" t="s">
        <v>396</v>
      </c>
      <c r="C709" s="26" t="n">
        <v>45931</v>
      </c>
      <c r="D709" s="27" t="n">
        <v>3896</v>
      </c>
      <c r="E709" s="28" t="n">
        <v>634.6</v>
      </c>
      <c r="F709" s="29" t="n">
        <v>0.0793</v>
      </c>
      <c r="G709" s="29" t="n">
        <v>0.1655</v>
      </c>
      <c r="H709" s="30" t="n">
        <v>11.44</v>
      </c>
      <c r="I709" s="29" t="n">
        <v>0.0159</v>
      </c>
      <c r="J709" s="29" t="n">
        <v>0.0389</v>
      </c>
      <c r="K709" s="29" t="n">
        <v>0.0269</v>
      </c>
      <c r="L709" s="27" t="n">
        <v>16</v>
      </c>
      <c r="M709" s="27" t="n">
        <v>19500</v>
      </c>
      <c r="N709" s="30" t="n">
        <v>47.05</v>
      </c>
      <c r="O709" s="30" t="n">
        <v>9.67</v>
      </c>
      <c r="P709" s="29" t="n">
        <v>0.0098</v>
      </c>
      <c r="Q709" s="27" t="n">
        <v>504000</v>
      </c>
      <c r="R709" s="27" t="n">
        <v>171224</v>
      </c>
      <c r="S709" s="27" t="n">
        <v>74777</v>
      </c>
      <c r="T709" s="29" t="n">
        <v>0.591</v>
      </c>
      <c r="U709" s="29" t="n">
        <v>0.242</v>
      </c>
      <c r="V709" s="29" t="n">
        <v>0.867</v>
      </c>
      <c r="W709" s="28" t="n">
        <v>12.2</v>
      </c>
    </row>
    <row r="710" customFormat="false" ht="15" hidden="false" customHeight="false" outlineLevel="0" collapsed="false">
      <c r="A710" s="25" t="s">
        <v>942</v>
      </c>
      <c r="B710" s="25" t="s">
        <v>396</v>
      </c>
      <c r="C710" s="26" t="n">
        <v>45962</v>
      </c>
      <c r="D710" s="27" t="n">
        <v>4013</v>
      </c>
      <c r="E710" s="28" t="n">
        <v>643.4</v>
      </c>
      <c r="F710" s="29" t="n">
        <v>0.0807</v>
      </c>
      <c r="G710" s="29" t="n">
        <v>0.1653</v>
      </c>
      <c r="H710" s="30" t="n">
        <v>11.86</v>
      </c>
      <c r="I710" s="29" t="n">
        <v>0.0181</v>
      </c>
      <c r="J710" s="29" t="n">
        <v>0.0389</v>
      </c>
      <c r="K710" s="29" t="n">
        <v>0.0328</v>
      </c>
      <c r="L710" s="27" t="n">
        <v>16</v>
      </c>
      <c r="M710" s="27" t="n">
        <v>19518</v>
      </c>
      <c r="N710" s="30" t="n">
        <v>47.34</v>
      </c>
      <c r="O710" s="30" t="n">
        <v>9.93</v>
      </c>
      <c r="P710" s="29" t="n">
        <v>0.0102</v>
      </c>
      <c r="Q710" s="27" t="n">
        <v>504000</v>
      </c>
      <c r="R710" s="27" t="n">
        <v>177495</v>
      </c>
      <c r="S710" s="27" t="n">
        <v>82634</v>
      </c>
      <c r="T710" s="29" t="n">
        <v>0.564</v>
      </c>
      <c r="U710" s="29" t="n">
        <v>0.243</v>
      </c>
      <c r="V710" s="29" t="n">
        <v>0.871</v>
      </c>
      <c r="W710" s="28" t="n">
        <v>12.1</v>
      </c>
    </row>
    <row r="711" customFormat="false" ht="15" hidden="false" customHeight="false" outlineLevel="0" collapsed="false">
      <c r="A711" s="25" t="s">
        <v>943</v>
      </c>
      <c r="B711" s="25" t="s">
        <v>396</v>
      </c>
      <c r="C711" s="26" t="n">
        <v>45992</v>
      </c>
      <c r="D711" s="27" t="n">
        <v>4247</v>
      </c>
      <c r="E711" s="28" t="n">
        <v>635.3</v>
      </c>
      <c r="F711" s="29" t="n">
        <v>0.0817</v>
      </c>
      <c r="G711" s="29" t="n">
        <v>0.1603</v>
      </c>
      <c r="H711" s="30" t="n">
        <v>12.17</v>
      </c>
      <c r="I711" s="29" t="n">
        <v>0.0188</v>
      </c>
      <c r="J711" s="29" t="n">
        <v>0.0391</v>
      </c>
      <c r="K711" s="29" t="n">
        <v>0.0328</v>
      </c>
      <c r="L711" s="27" t="n">
        <v>16</v>
      </c>
      <c r="M711" s="27" t="n">
        <v>19535</v>
      </c>
      <c r="N711" s="30" t="n">
        <v>48.44</v>
      </c>
      <c r="O711" s="30" t="n">
        <v>9.85</v>
      </c>
      <c r="P711" s="29" t="n">
        <v>0.0105</v>
      </c>
      <c r="Q711" s="27" t="n">
        <v>504000</v>
      </c>
      <c r="R711" s="27" t="n">
        <v>169428</v>
      </c>
      <c r="S711" s="27" t="n">
        <v>82957</v>
      </c>
      <c r="T711" s="29" t="n">
        <v>0.583</v>
      </c>
      <c r="U711" s="29" t="n">
        <v>0.262</v>
      </c>
      <c r="V711" s="29" t="n">
        <v>0.848</v>
      </c>
      <c r="W711" s="28" t="n">
        <v>12.4</v>
      </c>
    </row>
    <row r="712" customFormat="false" ht="15" hidden="false" customHeight="false" outlineLevel="0" collapsed="false">
      <c r="A712" s="25" t="s">
        <v>944</v>
      </c>
      <c r="B712" s="25" t="s">
        <v>396</v>
      </c>
      <c r="C712" s="26" t="n">
        <v>46023</v>
      </c>
      <c r="D712" s="27" t="n">
        <v>4087</v>
      </c>
      <c r="E712" s="28" t="n">
        <v>635.4</v>
      </c>
      <c r="F712" s="29" t="n">
        <v>0.0811</v>
      </c>
      <c r="G712" s="29" t="n">
        <v>0.1648</v>
      </c>
      <c r="H712" s="30" t="n">
        <v>11.58</v>
      </c>
      <c r="I712" s="29" t="n">
        <v>0.0179</v>
      </c>
      <c r="J712" s="29" t="n">
        <v>0.0395</v>
      </c>
      <c r="K712" s="29" t="n">
        <v>0.031</v>
      </c>
      <c r="L712" s="27" t="n">
        <v>16</v>
      </c>
      <c r="M712" s="27" t="n">
        <v>19553</v>
      </c>
      <c r="N712" s="30" t="n">
        <v>47.46</v>
      </c>
      <c r="O712" s="30" t="n">
        <v>9.78</v>
      </c>
      <c r="P712" s="29" t="n">
        <v>0.0102</v>
      </c>
      <c r="Q712" s="27" t="n">
        <v>504000</v>
      </c>
      <c r="R712" s="27" t="n">
        <v>166525</v>
      </c>
      <c r="S712" s="27" t="n">
        <v>79719</v>
      </c>
      <c r="T712" s="29" t="n">
        <v>0.57</v>
      </c>
      <c r="U712" s="29" t="n">
        <v>0.22</v>
      </c>
      <c r="V712" s="29" t="n">
        <v>0.86</v>
      </c>
      <c r="W712" s="28" t="n">
        <v>12</v>
      </c>
    </row>
    <row r="713" customFormat="false" ht="15" hidden="false" customHeight="false" outlineLevel="0" collapsed="false">
      <c r="A713" s="25" t="s">
        <v>945</v>
      </c>
      <c r="B713" s="25" t="s">
        <v>396</v>
      </c>
      <c r="C713" s="26" t="n">
        <v>46054</v>
      </c>
      <c r="D713" s="27" t="n">
        <v>3460</v>
      </c>
      <c r="E713" s="28" t="n">
        <v>622.2</v>
      </c>
      <c r="F713" s="29" t="n">
        <v>0.0818</v>
      </c>
      <c r="G713" s="29" t="n">
        <v>0.1643</v>
      </c>
      <c r="H713" s="30" t="n">
        <v>12.5</v>
      </c>
      <c r="I713" s="29" t="n">
        <v>0.0173</v>
      </c>
      <c r="J713" s="29" t="n">
        <v>0.0377</v>
      </c>
      <c r="K713" s="29" t="n">
        <v>0.0289</v>
      </c>
      <c r="L713" s="27" t="n">
        <v>16</v>
      </c>
      <c r="M713" s="27" t="n">
        <v>19571</v>
      </c>
      <c r="N713" s="30" t="n">
        <v>47.21</v>
      </c>
      <c r="O713" s="30" t="n">
        <v>10</v>
      </c>
      <c r="P713" s="29" t="n">
        <v>0.0097</v>
      </c>
      <c r="Q713" s="27" t="n">
        <v>504000</v>
      </c>
      <c r="R713" s="27" t="n">
        <v>188047</v>
      </c>
      <c r="S713" s="27" t="n">
        <v>65360</v>
      </c>
      <c r="T713" s="29" t="n">
        <v>0.579</v>
      </c>
      <c r="U713" s="29" t="n">
        <v>0.228</v>
      </c>
      <c r="V713" s="29" t="n">
        <v>0.868</v>
      </c>
      <c r="W713" s="28" t="n">
        <v>12.1</v>
      </c>
    </row>
    <row r="714" customFormat="false" ht="15" hidden="false" customHeight="false" outlineLevel="0" collapsed="false">
      <c r="A714" s="25" t="s">
        <v>946</v>
      </c>
      <c r="B714" s="25" t="s">
        <v>396</v>
      </c>
      <c r="C714" s="26" t="n">
        <v>46082</v>
      </c>
      <c r="D714" s="27" t="n">
        <v>4140</v>
      </c>
      <c r="E714" s="28" t="n">
        <v>628.4</v>
      </c>
      <c r="F714" s="29" t="n">
        <v>0.0818</v>
      </c>
      <c r="G714" s="29" t="n">
        <v>0.1628</v>
      </c>
      <c r="H714" s="30" t="n">
        <v>11.79</v>
      </c>
      <c r="I714" s="29" t="n">
        <v>0.0163</v>
      </c>
      <c r="J714" s="29" t="n">
        <v>0.0383</v>
      </c>
      <c r="K714" s="29" t="n">
        <v>0.0346</v>
      </c>
      <c r="L714" s="27" t="n">
        <v>16</v>
      </c>
      <c r="M714" s="27" t="n">
        <v>19589</v>
      </c>
      <c r="N714" s="30" t="n">
        <v>46.91</v>
      </c>
      <c r="O714" s="30" t="n">
        <v>9.65</v>
      </c>
      <c r="P714" s="29" t="n">
        <v>0.01</v>
      </c>
      <c r="Q714" s="27" t="n">
        <v>504000</v>
      </c>
      <c r="R714" s="27" t="n">
        <v>164064</v>
      </c>
      <c r="S714" s="27" t="n">
        <v>79378</v>
      </c>
      <c r="T714" s="29" t="n">
        <v>0.58</v>
      </c>
      <c r="U714" s="29" t="n">
        <v>0.23</v>
      </c>
      <c r="V714" s="29" t="n">
        <v>0.859</v>
      </c>
      <c r="W714" s="28" t="n">
        <v>12.2</v>
      </c>
    </row>
    <row r="715" customFormat="false" ht="15" hidden="false" customHeight="false" outlineLevel="0" collapsed="false">
      <c r="A715" s="25" t="s">
        <v>947</v>
      </c>
      <c r="B715" s="25" t="s">
        <v>396</v>
      </c>
      <c r="C715" s="26" t="n">
        <v>46113</v>
      </c>
      <c r="D715" s="27" t="n">
        <v>4159</v>
      </c>
      <c r="E715" s="28" t="n">
        <v>635.6</v>
      </c>
      <c r="F715" s="29" t="n">
        <v>0.0829</v>
      </c>
      <c r="G715" s="29" t="n">
        <v>0.1629</v>
      </c>
      <c r="H715" s="30" t="n">
        <v>11.88</v>
      </c>
      <c r="I715" s="29" t="n">
        <v>0.0171</v>
      </c>
      <c r="J715" s="29" t="n">
        <v>0.0381</v>
      </c>
      <c r="K715" s="29" t="n">
        <v>0.0318</v>
      </c>
      <c r="L715" s="27" t="n">
        <v>16</v>
      </c>
      <c r="M715" s="27" t="n">
        <v>19606</v>
      </c>
      <c r="N715" s="30" t="n">
        <v>47.41</v>
      </c>
      <c r="O715" s="30" t="n">
        <v>9.98</v>
      </c>
      <c r="P715" s="29" t="n">
        <v>0.0107</v>
      </c>
      <c r="Q715" s="27" t="n">
        <v>504000</v>
      </c>
      <c r="R715" s="27" t="n">
        <v>167711</v>
      </c>
      <c r="S715" s="27" t="n">
        <v>80587</v>
      </c>
      <c r="T715" s="29" t="n">
        <v>0.565</v>
      </c>
      <c r="U715" s="29" t="n">
        <v>0.225</v>
      </c>
      <c r="V715" s="29" t="n">
        <v>0.873</v>
      </c>
      <c r="W715" s="28" t="n">
        <v>12.1</v>
      </c>
    </row>
    <row r="716" customFormat="false" ht="15" hidden="false" customHeight="false" outlineLevel="0" collapsed="false">
      <c r="A716" s="25" t="s">
        <v>948</v>
      </c>
      <c r="B716" s="25" t="s">
        <v>396</v>
      </c>
      <c r="C716" s="26" t="n">
        <v>46143</v>
      </c>
      <c r="D716" s="27" t="n">
        <v>8551</v>
      </c>
      <c r="E716" s="28" t="n">
        <v>643.5</v>
      </c>
      <c r="F716" s="29" t="n">
        <v>0.0754</v>
      </c>
      <c r="G716" s="29" t="n">
        <v>0.162</v>
      </c>
      <c r="H716" s="30" t="n">
        <v>12.55</v>
      </c>
      <c r="I716" s="29" t="n">
        <v>0.019</v>
      </c>
      <c r="J716" s="29" t="n">
        <v>0.0361</v>
      </c>
      <c r="K716" s="29" t="n">
        <v>0.0338</v>
      </c>
      <c r="L716" s="27" t="n">
        <v>16</v>
      </c>
      <c r="M716" s="27" t="n">
        <v>19624</v>
      </c>
      <c r="N716" s="30" t="n">
        <v>46.69</v>
      </c>
      <c r="O716" s="30" t="n">
        <v>9.63</v>
      </c>
      <c r="P716" s="29" t="n">
        <v>0.0101</v>
      </c>
      <c r="Q716" s="27" t="n">
        <v>504000</v>
      </c>
      <c r="R716" s="27" t="n">
        <v>177614</v>
      </c>
      <c r="S716" s="27" t="n">
        <v>155092</v>
      </c>
      <c r="T716" s="29" t="n">
        <v>0.598</v>
      </c>
      <c r="U716" s="29" t="n">
        <v>0.24</v>
      </c>
      <c r="V716" s="29" t="n">
        <v>0.869</v>
      </c>
      <c r="W716" s="28" t="n">
        <v>12.2</v>
      </c>
    </row>
    <row r="717" customFormat="false" ht="15" hidden="false" customHeight="false" outlineLevel="0" collapsed="false">
      <c r="A717" s="25" t="s">
        <v>949</v>
      </c>
      <c r="B717" s="25" t="s">
        <v>396</v>
      </c>
      <c r="C717" s="26" t="n">
        <v>46174</v>
      </c>
      <c r="D717" s="27" t="n">
        <v>11480</v>
      </c>
      <c r="E717" s="28" t="n">
        <v>627.7</v>
      </c>
      <c r="F717" s="29" t="n">
        <v>0.0759</v>
      </c>
      <c r="G717" s="29" t="n">
        <v>0.1621</v>
      </c>
      <c r="H717" s="30" t="n">
        <v>12.26</v>
      </c>
      <c r="I717" s="29" t="n">
        <v>0.0197</v>
      </c>
      <c r="J717" s="29" t="n">
        <v>0.0333</v>
      </c>
      <c r="K717" s="29" t="n">
        <v>0.0371</v>
      </c>
      <c r="L717" s="27" t="n">
        <v>16</v>
      </c>
      <c r="M717" s="27" t="n">
        <v>19642</v>
      </c>
      <c r="N717" s="30" t="n">
        <v>44.32</v>
      </c>
      <c r="O717" s="30" t="n">
        <v>9.89</v>
      </c>
      <c r="P717" s="29" t="n">
        <v>0.0097</v>
      </c>
      <c r="Q717" s="27" t="n">
        <v>504000</v>
      </c>
      <c r="R717" s="27" t="n">
        <v>176553</v>
      </c>
      <c r="S717" s="27" t="n">
        <v>185242</v>
      </c>
      <c r="T717" s="29" t="n">
        <v>0.635</v>
      </c>
      <c r="U717" s="29" t="n">
        <v>0.228</v>
      </c>
      <c r="V717" s="29" t="n">
        <v>0.868</v>
      </c>
      <c r="W717" s="28" t="n">
        <v>12.1</v>
      </c>
    </row>
    <row r="718" customFormat="false" ht="15" hidden="false" customHeight="false" outlineLevel="0" collapsed="false">
      <c r="A718" s="25" t="s">
        <v>950</v>
      </c>
      <c r="B718" s="25" t="s">
        <v>396</v>
      </c>
      <c r="C718" s="26" t="n">
        <v>46204</v>
      </c>
      <c r="D718" s="27" t="n">
        <v>14365</v>
      </c>
      <c r="E718" s="28" t="n">
        <v>637.1</v>
      </c>
      <c r="F718" s="29" t="n">
        <v>0.0702</v>
      </c>
      <c r="G718" s="29" t="n">
        <v>0.1634</v>
      </c>
      <c r="H718" s="30" t="n">
        <v>11.28</v>
      </c>
      <c r="I718" s="29" t="n">
        <v>0.0202</v>
      </c>
      <c r="J718" s="29" t="n">
        <v>0.0326</v>
      </c>
      <c r="K718" s="29" t="n">
        <v>0.0365</v>
      </c>
      <c r="L718" s="27" t="n">
        <v>16</v>
      </c>
      <c r="M718" s="27" t="n">
        <v>19660</v>
      </c>
      <c r="N718" s="30" t="n">
        <v>43.57</v>
      </c>
      <c r="O718" s="30" t="n">
        <v>9.98</v>
      </c>
      <c r="P718" s="29" t="n">
        <v>0.0103</v>
      </c>
      <c r="Q718" s="27" t="n">
        <v>504000</v>
      </c>
      <c r="R718" s="27" t="n">
        <v>177143</v>
      </c>
      <c r="S718" s="27" t="n">
        <v>214181</v>
      </c>
      <c r="T718" s="29" t="n">
        <v>0.63</v>
      </c>
      <c r="U718" s="29" t="n">
        <v>0.234</v>
      </c>
      <c r="V718" s="29" t="n">
        <v>0.845</v>
      </c>
      <c r="W718" s="28" t="n">
        <v>12.7</v>
      </c>
    </row>
    <row r="719" customFormat="false" ht="15" hidden="false" customHeight="false" outlineLevel="0" collapsed="false">
      <c r="A719" s="25" t="s">
        <v>951</v>
      </c>
      <c r="B719" s="25" t="s">
        <v>396</v>
      </c>
      <c r="C719" s="26" t="n">
        <v>46235</v>
      </c>
      <c r="D719" s="27" t="n">
        <v>17048</v>
      </c>
      <c r="E719" s="28" t="n">
        <v>636.5</v>
      </c>
      <c r="F719" s="29" t="n">
        <v>0.0678</v>
      </c>
      <c r="G719" s="29" t="n">
        <v>0.1656</v>
      </c>
      <c r="H719" s="30" t="n">
        <v>11.81</v>
      </c>
      <c r="I719" s="29" t="n">
        <v>0.0229</v>
      </c>
      <c r="J719" s="29" t="n">
        <v>0.0299</v>
      </c>
      <c r="K719" s="29" t="n">
        <v>0.0273</v>
      </c>
      <c r="L719" s="27" t="n">
        <v>16</v>
      </c>
      <c r="M719" s="27" t="n">
        <v>19677</v>
      </c>
      <c r="N719" s="30" t="n">
        <v>42.78</v>
      </c>
      <c r="O719" s="30" t="n">
        <v>9.73</v>
      </c>
      <c r="P719" s="29" t="n">
        <v>0.0101</v>
      </c>
      <c r="Q719" s="27" t="n">
        <v>504000</v>
      </c>
      <c r="R719" s="27" t="n">
        <v>177185</v>
      </c>
      <c r="S719" s="27" t="n">
        <v>239904</v>
      </c>
      <c r="T719" s="29" t="n">
        <v>0.652</v>
      </c>
      <c r="U719" s="29" t="n">
        <v>0.238</v>
      </c>
      <c r="V719" s="29" t="n">
        <v>0.888</v>
      </c>
      <c r="W719" s="28" t="n">
        <v>11.1</v>
      </c>
    </row>
    <row r="720" customFormat="false" ht="15" hidden="false" customHeight="false" outlineLevel="0" collapsed="false">
      <c r="A720" s="25" t="s">
        <v>952</v>
      </c>
      <c r="B720" s="25" t="s">
        <v>396</v>
      </c>
      <c r="C720" s="26" t="n">
        <v>46266</v>
      </c>
      <c r="D720" s="27" t="n">
        <v>19192</v>
      </c>
      <c r="E720" s="28" t="n">
        <v>642.6</v>
      </c>
      <c r="F720" s="29" t="n">
        <v>0.0653</v>
      </c>
      <c r="G720" s="29" t="n">
        <v>0.1644</v>
      </c>
      <c r="H720" s="30" t="n">
        <v>11.57</v>
      </c>
      <c r="I720" s="29" t="n">
        <v>0.0232</v>
      </c>
      <c r="J720" s="29" t="n">
        <v>0.0285</v>
      </c>
      <c r="K720" s="29" t="n">
        <v>0.0375</v>
      </c>
      <c r="L720" s="27" t="n">
        <v>16</v>
      </c>
      <c r="M720" s="27" t="n">
        <v>19695</v>
      </c>
      <c r="N720" s="30" t="n">
        <v>41.59</v>
      </c>
      <c r="O720" s="30" t="n">
        <v>10.07</v>
      </c>
      <c r="P720" s="29" t="n">
        <v>0.0101</v>
      </c>
      <c r="Q720" s="27" t="n">
        <v>504000</v>
      </c>
      <c r="R720" s="27" t="n">
        <v>170787</v>
      </c>
      <c r="S720" s="27" t="n">
        <v>240160</v>
      </c>
      <c r="T720" s="29" t="n">
        <v>0.696</v>
      </c>
      <c r="U720" s="29" t="n">
        <v>0.23</v>
      </c>
      <c r="V720" s="29" t="n">
        <v>0.862</v>
      </c>
      <c r="W720" s="28" t="n">
        <v>12.1</v>
      </c>
    </row>
    <row r="721" customFormat="false" ht="15" hidden="false" customHeight="false" outlineLevel="0" collapsed="false">
      <c r="A721" s="25" t="s">
        <v>953</v>
      </c>
      <c r="B721" s="25" t="s">
        <v>394</v>
      </c>
      <c r="C721" s="26" t="n">
        <v>45931</v>
      </c>
      <c r="D721" s="27" t="n">
        <v>3182</v>
      </c>
      <c r="E721" s="28" t="n">
        <v>578.3</v>
      </c>
      <c r="F721" s="29" t="n">
        <v>0.0855</v>
      </c>
      <c r="G721" s="29" t="n">
        <v>0.1631</v>
      </c>
      <c r="H721" s="30" t="n">
        <v>12.65</v>
      </c>
      <c r="I721" s="29" t="n">
        <v>0.0165</v>
      </c>
      <c r="J721" s="29" t="n">
        <v>0.0357</v>
      </c>
      <c r="K721" s="29" t="n">
        <v>0.024</v>
      </c>
      <c r="L721" s="27" t="n">
        <v>16</v>
      </c>
      <c r="M721" s="27" t="n">
        <v>19500</v>
      </c>
      <c r="N721" s="30" t="n">
        <v>45.33</v>
      </c>
      <c r="O721" s="30" t="n">
        <v>9.7</v>
      </c>
      <c r="P721" s="29" t="n">
        <v>0.0103</v>
      </c>
      <c r="Q721" s="27" t="n">
        <v>574000</v>
      </c>
      <c r="R721" s="27" t="n">
        <v>154072</v>
      </c>
      <c r="S721" s="27" t="n">
        <v>54527</v>
      </c>
      <c r="T721" s="29" t="n">
        <v>0.596</v>
      </c>
      <c r="U721" s="29" t="n">
        <v>0.282</v>
      </c>
      <c r="V721" s="29" t="n">
        <v>0.9</v>
      </c>
      <c r="W721" s="28" t="n">
        <v>11.7</v>
      </c>
    </row>
    <row r="722" customFormat="false" ht="15" hidden="false" customHeight="false" outlineLevel="0" collapsed="false">
      <c r="A722" s="25" t="s">
        <v>954</v>
      </c>
      <c r="B722" s="25" t="s">
        <v>394</v>
      </c>
      <c r="C722" s="26" t="n">
        <v>45962</v>
      </c>
      <c r="D722" s="27" t="n">
        <v>2906</v>
      </c>
      <c r="E722" s="28" t="n">
        <v>583.7</v>
      </c>
      <c r="F722" s="29" t="n">
        <v>0.0819</v>
      </c>
      <c r="G722" s="29" t="n">
        <v>0.1629</v>
      </c>
      <c r="H722" s="30" t="n">
        <v>12.5</v>
      </c>
      <c r="I722" s="29" t="n">
        <v>0.0169</v>
      </c>
      <c r="J722" s="29" t="n">
        <v>0.0368</v>
      </c>
      <c r="K722" s="29" t="n">
        <v>0.0283</v>
      </c>
      <c r="L722" s="27" t="n">
        <v>16</v>
      </c>
      <c r="M722" s="27" t="n">
        <v>19518</v>
      </c>
      <c r="N722" s="30" t="n">
        <v>43.91</v>
      </c>
      <c r="O722" s="30" t="n">
        <v>9.96</v>
      </c>
      <c r="P722" s="29" t="n">
        <v>0.01</v>
      </c>
      <c r="Q722" s="27" t="n">
        <v>574000</v>
      </c>
      <c r="R722" s="27" t="n">
        <v>138539</v>
      </c>
      <c r="S722" s="27" t="n">
        <v>50455</v>
      </c>
      <c r="T722" s="29" t="n">
        <v>0.559</v>
      </c>
      <c r="U722" s="29" t="n">
        <v>0.279</v>
      </c>
      <c r="V722" s="29" t="n">
        <v>0.891</v>
      </c>
      <c r="W722" s="28" t="n">
        <v>11.5</v>
      </c>
    </row>
    <row r="723" customFormat="false" ht="15" hidden="false" customHeight="false" outlineLevel="0" collapsed="false">
      <c r="A723" s="25" t="s">
        <v>955</v>
      </c>
      <c r="B723" s="25" t="s">
        <v>394</v>
      </c>
      <c r="C723" s="26" t="n">
        <v>45992</v>
      </c>
      <c r="D723" s="27" t="n">
        <v>2868</v>
      </c>
      <c r="E723" s="28" t="n">
        <v>581.3</v>
      </c>
      <c r="F723" s="29" t="n">
        <v>0.0839</v>
      </c>
      <c r="G723" s="29" t="n">
        <v>0.164</v>
      </c>
      <c r="H723" s="30" t="n">
        <v>12.99</v>
      </c>
      <c r="I723" s="29" t="n">
        <v>0.0177</v>
      </c>
      <c r="J723" s="29" t="n">
        <v>0.037</v>
      </c>
      <c r="K723" s="29" t="n">
        <v>0.0321</v>
      </c>
      <c r="L723" s="27" t="n">
        <v>16</v>
      </c>
      <c r="M723" s="27" t="n">
        <v>19535</v>
      </c>
      <c r="N723" s="30" t="n">
        <v>44.12</v>
      </c>
      <c r="O723" s="30" t="n">
        <v>9.57</v>
      </c>
      <c r="P723" s="29" t="n">
        <v>0.0097</v>
      </c>
      <c r="Q723" s="27" t="n">
        <v>574000</v>
      </c>
      <c r="R723" s="27" t="n">
        <v>150522</v>
      </c>
      <c r="S723" s="27" t="n">
        <v>51589</v>
      </c>
      <c r="T723" s="29" t="n">
        <v>0.59</v>
      </c>
      <c r="U723" s="29" t="n">
        <v>0.278</v>
      </c>
      <c r="V723" s="29" t="n">
        <v>0.877</v>
      </c>
      <c r="W723" s="28" t="n">
        <v>12.3</v>
      </c>
    </row>
    <row r="724" customFormat="false" ht="15" hidden="false" customHeight="false" outlineLevel="0" collapsed="false">
      <c r="A724" s="25" t="s">
        <v>956</v>
      </c>
      <c r="B724" s="25" t="s">
        <v>394</v>
      </c>
      <c r="C724" s="26" t="n">
        <v>46023</v>
      </c>
      <c r="D724" s="27" t="n">
        <v>2946</v>
      </c>
      <c r="E724" s="28" t="n">
        <v>580.7</v>
      </c>
      <c r="F724" s="29" t="n">
        <v>0.0824</v>
      </c>
      <c r="G724" s="29" t="n">
        <v>0.1665</v>
      </c>
      <c r="H724" s="30" t="n">
        <v>11.72</v>
      </c>
      <c r="I724" s="29" t="n">
        <v>0.0172</v>
      </c>
      <c r="J724" s="29" t="n">
        <v>0.0358</v>
      </c>
      <c r="K724" s="29" t="n">
        <v>0.0246</v>
      </c>
      <c r="L724" s="27" t="n">
        <v>16</v>
      </c>
      <c r="M724" s="27" t="n">
        <v>19553</v>
      </c>
      <c r="N724" s="30" t="n">
        <v>44.54</v>
      </c>
      <c r="O724" s="30" t="n">
        <v>9.66</v>
      </c>
      <c r="P724" s="29" t="n">
        <v>0.0101</v>
      </c>
      <c r="Q724" s="27" t="n">
        <v>574000</v>
      </c>
      <c r="R724" s="27" t="n">
        <v>147649</v>
      </c>
      <c r="S724" s="27" t="n">
        <v>53721</v>
      </c>
      <c r="T724" s="29" t="n">
        <v>0.583</v>
      </c>
      <c r="U724" s="29" t="n">
        <v>0.277</v>
      </c>
      <c r="V724" s="29" t="n">
        <v>0.915</v>
      </c>
      <c r="W724" s="28" t="n">
        <v>10.8</v>
      </c>
    </row>
    <row r="725" customFormat="false" ht="15" hidden="false" customHeight="false" outlineLevel="0" collapsed="false">
      <c r="A725" s="25" t="s">
        <v>957</v>
      </c>
      <c r="B725" s="25" t="s">
        <v>394</v>
      </c>
      <c r="C725" s="26" t="n">
        <v>46054</v>
      </c>
      <c r="D725" s="27" t="n">
        <v>4975</v>
      </c>
      <c r="E725" s="28" t="n">
        <v>578.9</v>
      </c>
      <c r="F725" s="29" t="n">
        <v>0.0742</v>
      </c>
      <c r="G725" s="29" t="n">
        <v>0.1609</v>
      </c>
      <c r="H725" s="30" t="n">
        <v>12.18</v>
      </c>
      <c r="I725" s="29" t="n">
        <v>0.0177</v>
      </c>
      <c r="J725" s="29" t="n">
        <v>0.0353</v>
      </c>
      <c r="K725" s="29" t="n">
        <v>0.0272</v>
      </c>
      <c r="L725" s="27" t="n">
        <v>16</v>
      </c>
      <c r="M725" s="27" t="n">
        <v>19571</v>
      </c>
      <c r="N725" s="30" t="n">
        <v>43.56</v>
      </c>
      <c r="O725" s="30" t="n">
        <v>9.89</v>
      </c>
      <c r="P725" s="29" t="n">
        <v>0.0099</v>
      </c>
      <c r="Q725" s="27" t="n">
        <v>574000</v>
      </c>
      <c r="R725" s="27" t="n">
        <v>143805</v>
      </c>
      <c r="S725" s="27" t="n">
        <v>82729</v>
      </c>
      <c r="T725" s="29" t="n">
        <v>0.595</v>
      </c>
      <c r="U725" s="29" t="n">
        <v>0.282</v>
      </c>
      <c r="V725" s="29" t="n">
        <v>0.886</v>
      </c>
      <c r="W725" s="28" t="n">
        <v>12.1</v>
      </c>
    </row>
    <row r="726" customFormat="false" ht="15" hidden="false" customHeight="false" outlineLevel="0" collapsed="false">
      <c r="A726" s="25" t="s">
        <v>958</v>
      </c>
      <c r="B726" s="25" t="s">
        <v>394</v>
      </c>
      <c r="C726" s="26" t="n">
        <v>46082</v>
      </c>
      <c r="D726" s="27" t="n">
        <v>7416</v>
      </c>
      <c r="E726" s="28" t="n">
        <v>578.3</v>
      </c>
      <c r="F726" s="29" t="n">
        <v>0.0781</v>
      </c>
      <c r="G726" s="29" t="n">
        <v>0.1661</v>
      </c>
      <c r="H726" s="30" t="n">
        <v>12.03</v>
      </c>
      <c r="I726" s="29" t="n">
        <v>0.0194</v>
      </c>
      <c r="J726" s="29" t="n">
        <v>0.0351</v>
      </c>
      <c r="K726" s="29" t="n">
        <v>0.0275</v>
      </c>
      <c r="L726" s="27" t="n">
        <v>16</v>
      </c>
      <c r="M726" s="27" t="n">
        <v>19589</v>
      </c>
      <c r="N726" s="30" t="n">
        <v>42.56</v>
      </c>
      <c r="O726" s="30" t="n">
        <v>9.93</v>
      </c>
      <c r="P726" s="29" t="n">
        <v>0.0103</v>
      </c>
      <c r="Q726" s="27" t="n">
        <v>574000</v>
      </c>
      <c r="R726" s="27" t="n">
        <v>151740</v>
      </c>
      <c r="S726" s="27" t="n">
        <v>109976</v>
      </c>
      <c r="T726" s="29" t="n">
        <v>0.632</v>
      </c>
      <c r="U726" s="29" t="n">
        <v>0.287</v>
      </c>
      <c r="V726" s="29" t="n">
        <v>0.886</v>
      </c>
      <c r="W726" s="28" t="n">
        <v>11.7</v>
      </c>
    </row>
    <row r="727" customFormat="false" ht="15" hidden="false" customHeight="false" outlineLevel="0" collapsed="false">
      <c r="A727" s="25" t="s">
        <v>959</v>
      </c>
      <c r="B727" s="25" t="s">
        <v>394</v>
      </c>
      <c r="C727" s="26" t="n">
        <v>46113</v>
      </c>
      <c r="D727" s="27" t="n">
        <v>9389</v>
      </c>
      <c r="E727" s="28" t="n">
        <v>571</v>
      </c>
      <c r="F727" s="29" t="n">
        <v>0.071</v>
      </c>
      <c r="G727" s="29" t="n">
        <v>0.1646</v>
      </c>
      <c r="H727" s="30" t="n">
        <v>12.22</v>
      </c>
      <c r="I727" s="29" t="n">
        <v>0.0195</v>
      </c>
      <c r="J727" s="29" t="n">
        <v>0.0332</v>
      </c>
      <c r="K727" s="29" t="n">
        <v>0.0272</v>
      </c>
      <c r="L727" s="27" t="n">
        <v>16</v>
      </c>
      <c r="M727" s="27" t="n">
        <v>19606</v>
      </c>
      <c r="N727" s="30" t="n">
        <v>42.4</v>
      </c>
      <c r="O727" s="30" t="n">
        <v>9.91</v>
      </c>
      <c r="P727" s="29" t="n">
        <v>0.0098</v>
      </c>
      <c r="Q727" s="27" t="n">
        <v>574000</v>
      </c>
      <c r="R727" s="27" t="n">
        <v>143107</v>
      </c>
      <c r="S727" s="27" t="n">
        <v>125580</v>
      </c>
      <c r="T727" s="29" t="n">
        <v>0.658</v>
      </c>
      <c r="U727" s="29" t="n">
        <v>0.275</v>
      </c>
      <c r="V727" s="29" t="n">
        <v>0.888</v>
      </c>
      <c r="W727" s="28" t="n">
        <v>12</v>
      </c>
    </row>
    <row r="728" customFormat="false" ht="15" hidden="false" customHeight="false" outlineLevel="0" collapsed="false">
      <c r="A728" s="25" t="s">
        <v>960</v>
      </c>
      <c r="B728" s="25" t="s">
        <v>394</v>
      </c>
      <c r="C728" s="26" t="n">
        <v>46143</v>
      </c>
      <c r="D728" s="27" t="n">
        <v>13240</v>
      </c>
      <c r="E728" s="28" t="n">
        <v>590.2</v>
      </c>
      <c r="F728" s="29" t="n">
        <v>0.0692</v>
      </c>
      <c r="G728" s="29" t="n">
        <v>0.1632</v>
      </c>
      <c r="H728" s="30" t="n">
        <v>12.39</v>
      </c>
      <c r="I728" s="29" t="n">
        <v>0.0207</v>
      </c>
      <c r="J728" s="29" t="n">
        <v>0.0297</v>
      </c>
      <c r="K728" s="29" t="n">
        <v>0.0262</v>
      </c>
      <c r="L728" s="27" t="n">
        <v>16</v>
      </c>
      <c r="M728" s="27" t="n">
        <v>19624</v>
      </c>
      <c r="N728" s="30" t="n">
        <v>41.57</v>
      </c>
      <c r="O728" s="30" t="n">
        <v>9.73</v>
      </c>
      <c r="P728" s="29" t="n">
        <v>0.0105</v>
      </c>
      <c r="Q728" s="27" t="n">
        <v>574000</v>
      </c>
      <c r="R728" s="27" t="n">
        <v>148341</v>
      </c>
      <c r="S728" s="27" t="n">
        <v>169070</v>
      </c>
      <c r="T728" s="29" t="n">
        <v>0.658</v>
      </c>
      <c r="U728" s="29" t="n">
        <v>0.275</v>
      </c>
      <c r="V728" s="29" t="n">
        <v>0.905</v>
      </c>
      <c r="W728" s="28" t="n">
        <v>11.2</v>
      </c>
    </row>
    <row r="729" customFormat="false" ht="15" hidden="false" customHeight="false" outlineLevel="0" collapsed="false">
      <c r="A729" s="25" t="s">
        <v>961</v>
      </c>
      <c r="B729" s="25" t="s">
        <v>394</v>
      </c>
      <c r="C729" s="26" t="n">
        <v>46174</v>
      </c>
      <c r="D729" s="27" t="n">
        <v>14215</v>
      </c>
      <c r="E729" s="28" t="n">
        <v>582.6</v>
      </c>
      <c r="F729" s="29" t="n">
        <v>0.0659</v>
      </c>
      <c r="G729" s="29" t="n">
        <v>0.1627</v>
      </c>
      <c r="H729" s="30" t="n">
        <v>12.11</v>
      </c>
      <c r="I729" s="29" t="n">
        <v>0.0245</v>
      </c>
      <c r="J729" s="29" t="n">
        <v>0.0304</v>
      </c>
      <c r="K729" s="29" t="n">
        <v>0.0254</v>
      </c>
      <c r="L729" s="27" t="n">
        <v>16</v>
      </c>
      <c r="M729" s="27" t="n">
        <v>19642</v>
      </c>
      <c r="N729" s="30" t="n">
        <v>41.54</v>
      </c>
      <c r="O729" s="30" t="n">
        <v>9.61</v>
      </c>
      <c r="P729" s="29" t="n">
        <v>0.0105</v>
      </c>
      <c r="Q729" s="27" t="n">
        <v>574000</v>
      </c>
      <c r="R729" s="27" t="n">
        <v>142166</v>
      </c>
      <c r="S729" s="27" t="n">
        <v>159998</v>
      </c>
      <c r="T729" s="29" t="n">
        <v>0.677</v>
      </c>
      <c r="U729" s="29" t="n">
        <v>0.26</v>
      </c>
      <c r="V729" s="29" t="n">
        <v>0.899</v>
      </c>
      <c r="W729" s="28" t="n">
        <v>11.5</v>
      </c>
    </row>
    <row r="730" customFormat="false" ht="15" hidden="false" customHeight="false" outlineLevel="0" collapsed="false">
      <c r="A730" s="25" t="s">
        <v>962</v>
      </c>
      <c r="B730" s="25" t="s">
        <v>394</v>
      </c>
      <c r="C730" s="26" t="n">
        <v>46204</v>
      </c>
      <c r="D730" s="27" t="n">
        <v>14624</v>
      </c>
      <c r="E730" s="28" t="n">
        <v>589.6</v>
      </c>
      <c r="F730" s="29" t="n">
        <v>0.0593</v>
      </c>
      <c r="G730" s="29" t="n">
        <v>0.1622</v>
      </c>
      <c r="H730" s="30" t="n">
        <v>11.42</v>
      </c>
      <c r="I730" s="29" t="n">
        <v>0.0218</v>
      </c>
      <c r="J730" s="29" t="n">
        <v>0.0299</v>
      </c>
      <c r="K730" s="29" t="n">
        <v>0.0297</v>
      </c>
      <c r="L730" s="27" t="n">
        <v>16</v>
      </c>
      <c r="M730" s="27" t="n">
        <v>19660</v>
      </c>
      <c r="N730" s="30" t="n">
        <v>41.39</v>
      </c>
      <c r="O730" s="30" t="n">
        <v>10.27</v>
      </c>
      <c r="P730" s="29" t="n">
        <v>0.0101</v>
      </c>
      <c r="Q730" s="27" t="n">
        <v>574000</v>
      </c>
      <c r="R730" s="27" t="n">
        <v>161089</v>
      </c>
      <c r="S730" s="27" t="n">
        <v>162540</v>
      </c>
      <c r="T730" s="29" t="n">
        <v>0.676</v>
      </c>
      <c r="U730" s="29" t="n">
        <v>0.285</v>
      </c>
      <c r="V730" s="29" t="n">
        <v>0.882</v>
      </c>
      <c r="W730" s="28" t="n">
        <v>11.4</v>
      </c>
    </row>
    <row r="731" customFormat="false" ht="15" hidden="false" customHeight="false" outlineLevel="0" collapsed="false">
      <c r="A731" s="25" t="s">
        <v>963</v>
      </c>
      <c r="B731" s="25" t="s">
        <v>394</v>
      </c>
      <c r="C731" s="26" t="n">
        <v>46235</v>
      </c>
      <c r="D731" s="27" t="n">
        <v>16777</v>
      </c>
      <c r="E731" s="28" t="n">
        <v>594.6</v>
      </c>
      <c r="F731" s="29" t="n">
        <v>0.0626</v>
      </c>
      <c r="G731" s="29" t="n">
        <v>0.1599</v>
      </c>
      <c r="H731" s="30" t="n">
        <v>11.81</v>
      </c>
      <c r="I731" s="29" t="n">
        <v>0.022</v>
      </c>
      <c r="J731" s="29" t="n">
        <v>0.0278</v>
      </c>
      <c r="K731" s="29" t="n">
        <v>0.0238</v>
      </c>
      <c r="L731" s="27" t="n">
        <v>16</v>
      </c>
      <c r="M731" s="27" t="n">
        <v>19677</v>
      </c>
      <c r="N731" s="30" t="n">
        <v>39.7</v>
      </c>
      <c r="O731" s="30" t="n">
        <v>9.99</v>
      </c>
      <c r="P731" s="29" t="n">
        <v>0.0096</v>
      </c>
      <c r="Q731" s="27" t="n">
        <v>574000</v>
      </c>
      <c r="R731" s="27" t="n">
        <v>140691</v>
      </c>
      <c r="S731" s="27" t="n">
        <v>175619</v>
      </c>
      <c r="T731" s="29" t="n">
        <v>0.698</v>
      </c>
      <c r="U731" s="29" t="n">
        <v>0.265</v>
      </c>
      <c r="V731" s="29" t="n">
        <v>0.889</v>
      </c>
      <c r="W731" s="28" t="n">
        <v>11.8</v>
      </c>
    </row>
    <row r="732" customFormat="false" ht="15" hidden="false" customHeight="false" outlineLevel="0" collapsed="false">
      <c r="A732" s="25" t="s">
        <v>964</v>
      </c>
      <c r="B732" s="25" t="s">
        <v>394</v>
      </c>
      <c r="C732" s="26" t="n">
        <v>46266</v>
      </c>
      <c r="D732" s="27" t="n">
        <v>19589</v>
      </c>
      <c r="E732" s="28" t="n">
        <v>580.6</v>
      </c>
      <c r="F732" s="29" t="n">
        <v>0.0606</v>
      </c>
      <c r="G732" s="29" t="n">
        <v>0.1634</v>
      </c>
      <c r="H732" s="30" t="n">
        <v>11.85</v>
      </c>
      <c r="I732" s="29" t="n">
        <v>0.0244</v>
      </c>
      <c r="J732" s="29" t="n">
        <v>0.0272</v>
      </c>
      <c r="K732" s="29" t="n">
        <v>0.0272</v>
      </c>
      <c r="L732" s="27" t="n">
        <v>18</v>
      </c>
      <c r="M732" s="27" t="n">
        <v>19695</v>
      </c>
      <c r="N732" s="30" t="n">
        <v>39.26</v>
      </c>
      <c r="O732" s="30" t="n">
        <v>9.9</v>
      </c>
      <c r="P732" s="29" t="n">
        <v>0.009</v>
      </c>
      <c r="Q732" s="27" t="n">
        <v>574000</v>
      </c>
      <c r="R732" s="27" t="n">
        <v>149643</v>
      </c>
      <c r="S732" s="27" t="n">
        <v>168456</v>
      </c>
      <c r="T732" s="29" t="n">
        <v>0.732</v>
      </c>
      <c r="U732" s="29" t="n">
        <v>0.285</v>
      </c>
      <c r="V732" s="29" t="n">
        <v>0.882</v>
      </c>
      <c r="W732" s="28" t="n">
        <v>11.6</v>
      </c>
    </row>
    <row r="733" customFormat="false" ht="15" hidden="false" customHeight="false" outlineLevel="0" collapsed="false">
      <c r="A733" s="25" t="s">
        <v>965</v>
      </c>
      <c r="B733" s="25" t="s">
        <v>399</v>
      </c>
      <c r="C733" s="26" t="n">
        <v>45931</v>
      </c>
      <c r="D733" s="27" t="n">
        <v>12184</v>
      </c>
      <c r="E733" s="28" t="n">
        <v>625.6</v>
      </c>
      <c r="F733" s="29" t="n">
        <v>0.0603</v>
      </c>
      <c r="G733" s="29" t="n">
        <v>0.1726</v>
      </c>
      <c r="H733" s="30" t="n">
        <v>12.11</v>
      </c>
      <c r="I733" s="29" t="n">
        <v>0.0209</v>
      </c>
      <c r="J733" s="29" t="n">
        <v>0.0261</v>
      </c>
      <c r="K733" s="29" t="n">
        <v>0.0218</v>
      </c>
      <c r="L733" s="27" t="n">
        <v>16</v>
      </c>
      <c r="M733" s="27" t="n">
        <v>19500</v>
      </c>
      <c r="N733" s="30" t="n">
        <v>41.74</v>
      </c>
      <c r="O733" s="30" t="n">
        <v>9.9</v>
      </c>
      <c r="P733" s="29" t="n">
        <v>0.0098</v>
      </c>
      <c r="Q733" s="27" t="n">
        <v>332000</v>
      </c>
      <c r="R733" s="27" t="n">
        <v>165212</v>
      </c>
      <c r="S733" s="27" t="n">
        <v>128327</v>
      </c>
      <c r="T733" s="29" t="n">
        <v>0.725</v>
      </c>
      <c r="U733" s="29" t="n">
        <v>0.263</v>
      </c>
      <c r="V733" s="29" t="n">
        <v>0.927</v>
      </c>
      <c r="W733" s="28" t="n">
        <v>10.7</v>
      </c>
    </row>
    <row r="734" customFormat="false" ht="15" hidden="false" customHeight="false" outlineLevel="0" collapsed="false">
      <c r="A734" s="25" t="s">
        <v>966</v>
      </c>
      <c r="B734" s="25" t="s">
        <v>399</v>
      </c>
      <c r="C734" s="26" t="n">
        <v>45962</v>
      </c>
      <c r="D734" s="27" t="n">
        <v>11599</v>
      </c>
      <c r="E734" s="28" t="n">
        <v>607.4</v>
      </c>
      <c r="F734" s="29" t="n">
        <v>0.0587</v>
      </c>
      <c r="G734" s="29" t="n">
        <v>0.1688</v>
      </c>
      <c r="H734" s="30" t="n">
        <v>11.9</v>
      </c>
      <c r="I734" s="29" t="n">
        <v>0.0212</v>
      </c>
      <c r="J734" s="29" t="n">
        <v>0.0258</v>
      </c>
      <c r="K734" s="29" t="n">
        <v>0.0201</v>
      </c>
      <c r="L734" s="27" t="n">
        <v>16</v>
      </c>
      <c r="M734" s="27" t="n">
        <v>19518</v>
      </c>
      <c r="N734" s="30" t="n">
        <v>42.33</v>
      </c>
      <c r="O734" s="30" t="n">
        <v>9.66</v>
      </c>
      <c r="P734" s="29" t="n">
        <v>0.0102</v>
      </c>
      <c r="Q734" s="27" t="n">
        <v>332000</v>
      </c>
      <c r="R734" s="27" t="n">
        <v>163183</v>
      </c>
      <c r="S734" s="27" t="n">
        <v>111427</v>
      </c>
      <c r="T734" s="29" t="n">
        <v>0.719</v>
      </c>
      <c r="U734" s="29" t="n">
        <v>0.271</v>
      </c>
      <c r="V734" s="29" t="n">
        <v>0.895</v>
      </c>
      <c r="W734" s="28" t="n">
        <v>11.5</v>
      </c>
    </row>
    <row r="735" customFormat="false" ht="15" hidden="false" customHeight="false" outlineLevel="0" collapsed="false">
      <c r="A735" s="25" t="s">
        <v>967</v>
      </c>
      <c r="B735" s="25" t="s">
        <v>399</v>
      </c>
      <c r="C735" s="26" t="n">
        <v>45992</v>
      </c>
      <c r="D735" s="27" t="n">
        <v>12453</v>
      </c>
      <c r="E735" s="28" t="n">
        <v>601.7</v>
      </c>
      <c r="F735" s="29" t="n">
        <v>0.0597</v>
      </c>
      <c r="G735" s="29" t="n">
        <v>0.1692</v>
      </c>
      <c r="H735" s="30" t="n">
        <v>11.78</v>
      </c>
      <c r="I735" s="29" t="n">
        <v>0.0211</v>
      </c>
      <c r="J735" s="29" t="n">
        <v>0.0256</v>
      </c>
      <c r="K735" s="29" t="n">
        <v>0.0195</v>
      </c>
      <c r="L735" s="27" t="n">
        <v>16</v>
      </c>
      <c r="M735" s="27" t="n">
        <v>19535</v>
      </c>
      <c r="N735" s="30" t="n">
        <v>42.23</v>
      </c>
      <c r="O735" s="30" t="n">
        <v>10</v>
      </c>
      <c r="P735" s="29" t="n">
        <v>0.0104</v>
      </c>
      <c r="Q735" s="27" t="n">
        <v>332000</v>
      </c>
      <c r="R735" s="27" t="n">
        <v>156076</v>
      </c>
      <c r="S735" s="27" t="n">
        <v>111583</v>
      </c>
      <c r="T735" s="29" t="n">
        <v>0.715</v>
      </c>
      <c r="U735" s="29" t="n">
        <v>0.254</v>
      </c>
      <c r="V735" s="29" t="n">
        <v>0.889</v>
      </c>
      <c r="W735" s="28" t="n">
        <v>11.5</v>
      </c>
    </row>
    <row r="736" customFormat="false" ht="15" hidden="false" customHeight="false" outlineLevel="0" collapsed="false">
      <c r="A736" s="25" t="s">
        <v>968</v>
      </c>
      <c r="B736" s="25" t="s">
        <v>399</v>
      </c>
      <c r="C736" s="26" t="n">
        <v>46023</v>
      </c>
      <c r="D736" s="27" t="n">
        <v>13358</v>
      </c>
      <c r="E736" s="28" t="n">
        <v>613.6</v>
      </c>
      <c r="F736" s="29" t="n">
        <v>0.0582</v>
      </c>
      <c r="G736" s="29" t="n">
        <v>0.1714</v>
      </c>
      <c r="H736" s="30" t="n">
        <v>12.47</v>
      </c>
      <c r="I736" s="29" t="n">
        <v>0.0215</v>
      </c>
      <c r="J736" s="29" t="n">
        <v>0.0248</v>
      </c>
      <c r="K736" s="29" t="n">
        <v>0.0268</v>
      </c>
      <c r="L736" s="27" t="n">
        <v>16</v>
      </c>
      <c r="M736" s="27" t="n">
        <v>19553</v>
      </c>
      <c r="N736" s="30" t="n">
        <v>42.03</v>
      </c>
      <c r="O736" s="30" t="n">
        <v>10.06</v>
      </c>
      <c r="P736" s="29" t="n">
        <v>0.0102</v>
      </c>
      <c r="Q736" s="27" t="n">
        <v>332000</v>
      </c>
      <c r="R736" s="27" t="n">
        <v>168051</v>
      </c>
      <c r="S736" s="27" t="n">
        <v>111816</v>
      </c>
      <c r="T736" s="29" t="n">
        <v>0.766</v>
      </c>
      <c r="U736" s="29" t="n">
        <v>0.246</v>
      </c>
      <c r="V736" s="29" t="n">
        <v>0.869</v>
      </c>
      <c r="W736" s="28" t="n">
        <v>11.8</v>
      </c>
    </row>
    <row r="737" customFormat="false" ht="15" hidden="false" customHeight="false" outlineLevel="0" collapsed="false">
      <c r="A737" s="25" t="s">
        <v>969</v>
      </c>
      <c r="B737" s="25" t="s">
        <v>399</v>
      </c>
      <c r="C737" s="26" t="n">
        <v>46054</v>
      </c>
      <c r="D737" s="27" t="n">
        <v>12162</v>
      </c>
      <c r="E737" s="28" t="n">
        <v>609.7</v>
      </c>
      <c r="F737" s="29" t="n">
        <v>0.0548</v>
      </c>
      <c r="G737" s="29" t="n">
        <v>0.1672</v>
      </c>
      <c r="H737" s="30" t="n">
        <v>12.24</v>
      </c>
      <c r="I737" s="29" t="n">
        <v>0.0201</v>
      </c>
      <c r="J737" s="29" t="n">
        <v>0.0253</v>
      </c>
      <c r="K737" s="29" t="n">
        <v>0.0239</v>
      </c>
      <c r="L737" s="27" t="n">
        <v>16</v>
      </c>
      <c r="M737" s="27" t="n">
        <v>19571</v>
      </c>
      <c r="N737" s="30" t="n">
        <v>40.68</v>
      </c>
      <c r="O737" s="30" t="n">
        <v>9.9</v>
      </c>
      <c r="P737" s="29" t="n">
        <v>0.0101</v>
      </c>
      <c r="Q737" s="27" t="n">
        <v>332000</v>
      </c>
      <c r="R737" s="27" t="n">
        <v>163945</v>
      </c>
      <c r="S737" s="27" t="n">
        <v>101597</v>
      </c>
      <c r="T737" s="29" t="n">
        <v>0.75</v>
      </c>
      <c r="U737" s="29" t="n">
        <v>0.28</v>
      </c>
      <c r="V737" s="29" t="n">
        <v>0.884</v>
      </c>
      <c r="W737" s="28" t="n">
        <v>11.3</v>
      </c>
    </row>
    <row r="738" customFormat="false" ht="15" hidden="false" customHeight="false" outlineLevel="0" collapsed="false">
      <c r="A738" s="25" t="s">
        <v>970</v>
      </c>
      <c r="B738" s="25" t="s">
        <v>399</v>
      </c>
      <c r="C738" s="26" t="n">
        <v>46082</v>
      </c>
      <c r="D738" s="27" t="n">
        <v>16017</v>
      </c>
      <c r="E738" s="28" t="n">
        <v>621.1</v>
      </c>
      <c r="F738" s="29" t="n">
        <v>0.0579</v>
      </c>
      <c r="G738" s="29" t="n">
        <v>0.1685</v>
      </c>
      <c r="H738" s="30" t="n">
        <v>12.67</v>
      </c>
      <c r="I738" s="29" t="n">
        <v>0.024</v>
      </c>
      <c r="J738" s="29" t="n">
        <v>0.0231</v>
      </c>
      <c r="K738" s="29" t="n">
        <v>0.0232</v>
      </c>
      <c r="L738" s="27" t="n">
        <v>16</v>
      </c>
      <c r="M738" s="27" t="n">
        <v>19589</v>
      </c>
      <c r="N738" s="30" t="n">
        <v>40.7</v>
      </c>
      <c r="O738" s="30" t="n">
        <v>9.95</v>
      </c>
      <c r="P738" s="29" t="n">
        <v>0.01</v>
      </c>
      <c r="Q738" s="27" t="n">
        <v>332000</v>
      </c>
      <c r="R738" s="27" t="n">
        <v>168338</v>
      </c>
      <c r="S738" s="27" t="n">
        <v>118051</v>
      </c>
      <c r="T738" s="29" t="n">
        <v>0.766</v>
      </c>
      <c r="U738" s="29" t="n">
        <v>0.288</v>
      </c>
      <c r="V738" s="29" t="n">
        <v>0.892</v>
      </c>
      <c r="W738" s="28" t="n">
        <v>11.4</v>
      </c>
    </row>
    <row r="739" customFormat="false" ht="15" hidden="false" customHeight="false" outlineLevel="0" collapsed="false">
      <c r="A739" s="25" t="s">
        <v>971</v>
      </c>
      <c r="B739" s="25" t="s">
        <v>399</v>
      </c>
      <c r="C739" s="26" t="n">
        <v>46113</v>
      </c>
      <c r="D739" s="27" t="n">
        <v>15065</v>
      </c>
      <c r="E739" s="28" t="n">
        <v>607.3</v>
      </c>
      <c r="F739" s="29" t="n">
        <v>0.0535</v>
      </c>
      <c r="G739" s="29" t="n">
        <v>0.169</v>
      </c>
      <c r="H739" s="30" t="n">
        <v>12.57</v>
      </c>
      <c r="I739" s="29" t="n">
        <v>0.0237</v>
      </c>
      <c r="J739" s="29" t="n">
        <v>0.0237</v>
      </c>
      <c r="K739" s="29" t="n">
        <v>0.0222</v>
      </c>
      <c r="L739" s="27" t="n">
        <v>16</v>
      </c>
      <c r="M739" s="27" t="n">
        <v>19606</v>
      </c>
      <c r="N739" s="30" t="n">
        <v>40.55</v>
      </c>
      <c r="O739" s="30" t="n">
        <v>9.8</v>
      </c>
      <c r="P739" s="29" t="n">
        <v>0.0101</v>
      </c>
      <c r="Q739" s="27" t="n">
        <v>332000</v>
      </c>
      <c r="R739" s="27" t="n">
        <v>164398</v>
      </c>
      <c r="S739" s="27" t="n">
        <v>104067</v>
      </c>
      <c r="T739" s="29" t="n">
        <v>0.781</v>
      </c>
      <c r="U739" s="29" t="n">
        <v>0.269</v>
      </c>
      <c r="V739" s="29" t="n">
        <v>0.891</v>
      </c>
      <c r="W739" s="28" t="n">
        <v>11.4</v>
      </c>
    </row>
    <row r="740" customFormat="false" ht="15" hidden="false" customHeight="false" outlineLevel="0" collapsed="false">
      <c r="A740" s="25" t="s">
        <v>972</v>
      </c>
      <c r="B740" s="25" t="s">
        <v>399</v>
      </c>
      <c r="C740" s="26" t="n">
        <v>46143</v>
      </c>
      <c r="D740" s="27" t="n">
        <v>16608</v>
      </c>
      <c r="E740" s="28" t="n">
        <v>596.3</v>
      </c>
      <c r="F740" s="29" t="n">
        <v>0.0592</v>
      </c>
      <c r="G740" s="29" t="n">
        <v>0.171</v>
      </c>
      <c r="H740" s="30" t="n">
        <v>12.32</v>
      </c>
      <c r="I740" s="29" t="n">
        <v>0.0235</v>
      </c>
      <c r="J740" s="29" t="n">
        <v>0.023</v>
      </c>
      <c r="K740" s="29" t="n">
        <v>0.0196</v>
      </c>
      <c r="L740" s="27" t="n">
        <v>16</v>
      </c>
      <c r="M740" s="27" t="n">
        <v>19624</v>
      </c>
      <c r="N740" s="30" t="n">
        <v>41.52</v>
      </c>
      <c r="O740" s="30" t="n">
        <v>9.85</v>
      </c>
      <c r="P740" s="29" t="n">
        <v>0.0103</v>
      </c>
      <c r="Q740" s="27" t="n">
        <v>332000</v>
      </c>
      <c r="R740" s="27" t="n">
        <v>163433</v>
      </c>
      <c r="S740" s="27" t="n">
        <v>105642</v>
      </c>
      <c r="T740" s="29" t="n">
        <v>0.791</v>
      </c>
      <c r="U740" s="29" t="n">
        <v>0.275</v>
      </c>
      <c r="V740" s="29" t="n">
        <v>0.906</v>
      </c>
      <c r="W740" s="28" t="n">
        <v>11.8</v>
      </c>
    </row>
    <row r="741" customFormat="false" ht="15" hidden="false" customHeight="false" outlineLevel="0" collapsed="false">
      <c r="A741" s="25" t="s">
        <v>973</v>
      </c>
      <c r="B741" s="25" t="s">
        <v>399</v>
      </c>
      <c r="C741" s="26" t="n">
        <v>46174</v>
      </c>
      <c r="D741" s="27" t="n">
        <v>17836</v>
      </c>
      <c r="E741" s="28" t="n">
        <v>610.7</v>
      </c>
      <c r="F741" s="29" t="n">
        <v>0.0552</v>
      </c>
      <c r="G741" s="29" t="n">
        <v>0.1761</v>
      </c>
      <c r="H741" s="30" t="n">
        <v>12.68</v>
      </c>
      <c r="I741" s="29" t="n">
        <v>0.0229</v>
      </c>
      <c r="J741" s="29" t="n">
        <v>0.0226</v>
      </c>
      <c r="K741" s="29" t="n">
        <v>0.021</v>
      </c>
      <c r="L741" s="27" t="n">
        <v>16</v>
      </c>
      <c r="M741" s="27" t="n">
        <v>19642</v>
      </c>
      <c r="N741" s="30" t="n">
        <v>39.48</v>
      </c>
      <c r="O741" s="30" t="n">
        <v>10</v>
      </c>
      <c r="P741" s="29" t="n">
        <v>0.0098</v>
      </c>
      <c r="Q741" s="27" t="n">
        <v>332000</v>
      </c>
      <c r="R741" s="27" t="n">
        <v>168953</v>
      </c>
      <c r="S741" s="27" t="n">
        <v>116416</v>
      </c>
      <c r="T741" s="29" t="n">
        <v>0.809</v>
      </c>
      <c r="U741" s="29" t="n">
        <v>0.261</v>
      </c>
      <c r="V741" s="29" t="n">
        <v>0.898</v>
      </c>
      <c r="W741" s="28" t="n">
        <v>10.9</v>
      </c>
    </row>
    <row r="742" customFormat="false" ht="15" hidden="false" customHeight="false" outlineLevel="0" collapsed="false">
      <c r="A742" s="25" t="s">
        <v>974</v>
      </c>
      <c r="B742" s="25" t="s">
        <v>399</v>
      </c>
      <c r="C742" s="26" t="n">
        <v>46204</v>
      </c>
      <c r="D742" s="27" t="n">
        <v>15542</v>
      </c>
      <c r="E742" s="28" t="n">
        <v>598.4</v>
      </c>
      <c r="F742" s="29" t="n">
        <v>0.0508</v>
      </c>
      <c r="G742" s="29" t="n">
        <v>0.1693</v>
      </c>
      <c r="H742" s="30" t="n">
        <v>12.76</v>
      </c>
      <c r="I742" s="29" t="n">
        <v>0.0227</v>
      </c>
      <c r="J742" s="29" t="n">
        <v>0.0233</v>
      </c>
      <c r="K742" s="29" t="n">
        <v>0.0198</v>
      </c>
      <c r="L742" s="27" t="n">
        <v>16</v>
      </c>
      <c r="M742" s="27" t="n">
        <v>19660</v>
      </c>
      <c r="N742" s="30" t="n">
        <v>40.65</v>
      </c>
      <c r="O742" s="30" t="n">
        <v>9.75</v>
      </c>
      <c r="P742" s="29" t="n">
        <v>0.0103</v>
      </c>
      <c r="Q742" s="27" t="n">
        <v>332000</v>
      </c>
      <c r="R742" s="27" t="n">
        <v>162469</v>
      </c>
      <c r="S742" s="27" t="n">
        <v>103084</v>
      </c>
      <c r="T742" s="29" t="n">
        <v>0.785</v>
      </c>
      <c r="U742" s="29" t="n">
        <v>0.263</v>
      </c>
      <c r="V742" s="29" t="n">
        <v>0.914</v>
      </c>
      <c r="W742" s="28" t="n">
        <v>10.7</v>
      </c>
    </row>
    <row r="743" customFormat="false" ht="15" hidden="false" customHeight="false" outlineLevel="0" collapsed="false">
      <c r="A743" s="25" t="s">
        <v>975</v>
      </c>
      <c r="B743" s="25" t="s">
        <v>399</v>
      </c>
      <c r="C743" s="26" t="n">
        <v>46235</v>
      </c>
      <c r="D743" s="27" t="n">
        <v>15502</v>
      </c>
      <c r="E743" s="28" t="n">
        <v>599.2</v>
      </c>
      <c r="F743" s="29" t="n">
        <v>0.0581</v>
      </c>
      <c r="G743" s="29" t="n">
        <v>0.1697</v>
      </c>
      <c r="H743" s="30" t="n">
        <v>11.96</v>
      </c>
      <c r="I743" s="29" t="n">
        <v>0.0227</v>
      </c>
      <c r="J743" s="29" t="n">
        <v>0.0242</v>
      </c>
      <c r="K743" s="29" t="n">
        <v>0.0248</v>
      </c>
      <c r="L743" s="27" t="n">
        <v>16</v>
      </c>
      <c r="M743" s="27" t="n">
        <v>19677</v>
      </c>
      <c r="N743" s="30" t="n">
        <v>42.06</v>
      </c>
      <c r="O743" s="30" t="n">
        <v>9.91</v>
      </c>
      <c r="P743" s="29" t="n">
        <v>0.0106</v>
      </c>
      <c r="Q743" s="27" t="n">
        <v>332000</v>
      </c>
      <c r="R743" s="27" t="n">
        <v>165618</v>
      </c>
      <c r="S743" s="27" t="n">
        <v>92069</v>
      </c>
      <c r="T743" s="29" t="n">
        <v>0.784</v>
      </c>
      <c r="U743" s="29" t="n">
        <v>0.263</v>
      </c>
      <c r="V743" s="29" t="n">
        <v>0.892</v>
      </c>
      <c r="W743" s="28" t="n">
        <v>11.9</v>
      </c>
    </row>
    <row r="744" customFormat="false" ht="15" hidden="false" customHeight="false" outlineLevel="0" collapsed="false">
      <c r="A744" s="25" t="s">
        <v>976</v>
      </c>
      <c r="B744" s="25" t="s">
        <v>399</v>
      </c>
      <c r="C744" s="26" t="n">
        <v>46266</v>
      </c>
      <c r="D744" s="27" t="n">
        <v>17259</v>
      </c>
      <c r="E744" s="28" t="n">
        <v>605.7</v>
      </c>
      <c r="F744" s="29" t="n">
        <v>0.055</v>
      </c>
      <c r="G744" s="29" t="n">
        <v>0.1703</v>
      </c>
      <c r="H744" s="30" t="n">
        <v>11.95</v>
      </c>
      <c r="I744" s="29" t="n">
        <v>0.024</v>
      </c>
      <c r="J744" s="29" t="n">
        <v>0.0217</v>
      </c>
      <c r="K744" s="29" t="n">
        <v>0.0252</v>
      </c>
      <c r="L744" s="27" t="n">
        <v>16</v>
      </c>
      <c r="M744" s="27" t="n">
        <v>19695</v>
      </c>
      <c r="N744" s="30" t="n">
        <v>39.97</v>
      </c>
      <c r="O744" s="30" t="n">
        <v>9.89</v>
      </c>
      <c r="P744" s="29" t="n">
        <v>0.0098</v>
      </c>
      <c r="Q744" s="27" t="n">
        <v>332000</v>
      </c>
      <c r="R744" s="27" t="n">
        <v>163139</v>
      </c>
      <c r="S744" s="27" t="n">
        <v>97375</v>
      </c>
      <c r="T744" s="29" t="n">
        <v>0.809</v>
      </c>
      <c r="U744" s="29" t="n">
        <v>0.277</v>
      </c>
      <c r="V744" s="29" t="n">
        <v>0.9</v>
      </c>
      <c r="W744" s="28" t="n">
        <v>11.6</v>
      </c>
    </row>
    <row r="745" customFormat="false" ht="15" hidden="false" customHeight="false" outlineLevel="0" collapsed="false">
      <c r="A745" s="25" t="s">
        <v>977</v>
      </c>
      <c r="B745" s="25" t="s">
        <v>400</v>
      </c>
      <c r="C745" s="26" t="n">
        <v>45931</v>
      </c>
      <c r="D745" s="27" t="n">
        <v>28205</v>
      </c>
      <c r="E745" s="28" t="n">
        <v>684.1</v>
      </c>
      <c r="F745" s="29" t="n">
        <v>0.0581</v>
      </c>
      <c r="G745" s="29" t="n">
        <v>0.1706</v>
      </c>
      <c r="H745" s="30" t="n">
        <v>12.35</v>
      </c>
      <c r="I745" s="29" t="n">
        <v>0.0282</v>
      </c>
      <c r="J745" s="29" t="n">
        <v>0.0296</v>
      </c>
      <c r="K745" s="29" t="n">
        <v>0.0616</v>
      </c>
      <c r="L745" s="27" t="n">
        <v>19</v>
      </c>
      <c r="M745" s="27" t="n">
        <v>19500</v>
      </c>
      <c r="N745" s="30" t="n">
        <v>40.05</v>
      </c>
      <c r="O745" s="30" t="n">
        <v>9.72</v>
      </c>
      <c r="P745" s="29" t="n">
        <v>0.0101</v>
      </c>
      <c r="Q745" s="27" t="n">
        <v>388500</v>
      </c>
      <c r="R745" s="27" t="n">
        <v>145027</v>
      </c>
      <c r="S745" s="27" t="n">
        <v>295078</v>
      </c>
      <c r="T745" s="29" t="n">
        <v>0.725</v>
      </c>
      <c r="U745" s="29" t="n">
        <v>0.265</v>
      </c>
      <c r="V745" s="29" t="n">
        <v>0.81</v>
      </c>
      <c r="W745" s="28" t="n">
        <v>13</v>
      </c>
    </row>
    <row r="746" customFormat="false" ht="15" hidden="false" customHeight="false" outlineLevel="0" collapsed="false">
      <c r="A746" s="25" t="s">
        <v>978</v>
      </c>
      <c r="B746" s="25" t="s">
        <v>400</v>
      </c>
      <c r="C746" s="26" t="n">
        <v>45962</v>
      </c>
      <c r="D746" s="27" t="n">
        <v>29072</v>
      </c>
      <c r="E746" s="28" t="n">
        <v>660.9</v>
      </c>
      <c r="F746" s="29" t="n">
        <v>0.0555</v>
      </c>
      <c r="G746" s="29" t="n">
        <v>0.1685</v>
      </c>
      <c r="H746" s="30" t="n">
        <v>11.92</v>
      </c>
      <c r="I746" s="29" t="n">
        <v>0.0259</v>
      </c>
      <c r="J746" s="29" t="n">
        <v>0.0278</v>
      </c>
      <c r="K746" s="29" t="n">
        <v>0.0567</v>
      </c>
      <c r="L746" s="27" t="n">
        <v>19</v>
      </c>
      <c r="M746" s="27" t="n">
        <v>19518</v>
      </c>
      <c r="N746" s="30" t="n">
        <v>39.48</v>
      </c>
      <c r="O746" s="30" t="n">
        <v>10.04</v>
      </c>
      <c r="P746" s="29" t="n">
        <v>0.0101</v>
      </c>
      <c r="Q746" s="27" t="n">
        <v>388500</v>
      </c>
      <c r="R746" s="27" t="n">
        <v>154617</v>
      </c>
      <c r="S746" s="27" t="n">
        <v>285382</v>
      </c>
      <c r="T746" s="29" t="n">
        <v>0.766</v>
      </c>
      <c r="U746" s="29" t="n">
        <v>0.273</v>
      </c>
      <c r="V746" s="29" t="n">
        <v>0.857</v>
      </c>
      <c r="W746" s="28" t="n">
        <v>12.6</v>
      </c>
    </row>
    <row r="747" customFormat="false" ht="15" hidden="false" customHeight="false" outlineLevel="0" collapsed="false">
      <c r="A747" s="25" t="s">
        <v>979</v>
      </c>
      <c r="B747" s="25" t="s">
        <v>400</v>
      </c>
      <c r="C747" s="26" t="n">
        <v>45992</v>
      </c>
      <c r="D747" s="27" t="n">
        <v>32241</v>
      </c>
      <c r="E747" s="28" t="n">
        <v>662.9</v>
      </c>
      <c r="F747" s="29" t="n">
        <v>0.0584</v>
      </c>
      <c r="G747" s="29" t="n">
        <v>0.1656</v>
      </c>
      <c r="H747" s="30" t="n">
        <v>12.04</v>
      </c>
      <c r="I747" s="29" t="n">
        <v>0.0289</v>
      </c>
      <c r="J747" s="29" t="n">
        <v>0.0282</v>
      </c>
      <c r="K747" s="29" t="n">
        <v>0.063</v>
      </c>
      <c r="L747" s="27" t="n">
        <v>23</v>
      </c>
      <c r="M747" s="27" t="n">
        <v>19535</v>
      </c>
      <c r="N747" s="30" t="n">
        <v>38.93</v>
      </c>
      <c r="O747" s="30" t="n">
        <v>9.84</v>
      </c>
      <c r="P747" s="29" t="n">
        <v>0.0099</v>
      </c>
      <c r="Q747" s="27" t="n">
        <v>388500</v>
      </c>
      <c r="R747" s="27" t="n">
        <v>142017</v>
      </c>
      <c r="S747" s="27" t="n">
        <v>289061</v>
      </c>
      <c r="T747" s="29" t="n">
        <v>0.742</v>
      </c>
      <c r="U747" s="29" t="n">
        <v>0.284</v>
      </c>
      <c r="V747" s="29" t="n">
        <v>0.818</v>
      </c>
      <c r="W747" s="28" t="n">
        <v>13.1</v>
      </c>
    </row>
    <row r="748" customFormat="false" ht="15" hidden="false" customHeight="false" outlineLevel="0" collapsed="false">
      <c r="A748" s="25" t="s">
        <v>980</v>
      </c>
      <c r="B748" s="25" t="s">
        <v>400</v>
      </c>
      <c r="C748" s="26" t="n">
        <v>46023</v>
      </c>
      <c r="D748" s="27" t="n">
        <v>28126</v>
      </c>
      <c r="E748" s="28" t="n">
        <v>678.4</v>
      </c>
      <c r="F748" s="29" t="n">
        <v>0.0587</v>
      </c>
      <c r="G748" s="29" t="n">
        <v>0.1682</v>
      </c>
      <c r="H748" s="30" t="n">
        <v>12.33</v>
      </c>
      <c r="I748" s="29" t="n">
        <v>0.0277</v>
      </c>
      <c r="J748" s="29" t="n">
        <v>0.029</v>
      </c>
      <c r="K748" s="29" t="n">
        <v>0.0603</v>
      </c>
      <c r="L748" s="27" t="n">
        <v>19</v>
      </c>
      <c r="M748" s="27" t="n">
        <v>19553</v>
      </c>
      <c r="N748" s="30" t="n">
        <v>40.56</v>
      </c>
      <c r="O748" s="30" t="n">
        <v>10.08</v>
      </c>
      <c r="P748" s="29" t="n">
        <v>0.01</v>
      </c>
      <c r="Q748" s="27" t="n">
        <v>388500</v>
      </c>
      <c r="R748" s="27" t="n">
        <v>156829</v>
      </c>
      <c r="S748" s="27" t="n">
        <v>242306</v>
      </c>
      <c r="T748" s="29" t="n">
        <v>0.745</v>
      </c>
      <c r="U748" s="29" t="n">
        <v>0.268</v>
      </c>
      <c r="V748" s="29" t="n">
        <v>0.833</v>
      </c>
      <c r="W748" s="28" t="n">
        <v>12.7</v>
      </c>
    </row>
    <row r="749" customFormat="false" ht="15" hidden="false" customHeight="false" outlineLevel="0" collapsed="false">
      <c r="A749" s="25" t="s">
        <v>981</v>
      </c>
      <c r="B749" s="25" t="s">
        <v>400</v>
      </c>
      <c r="C749" s="26" t="n">
        <v>46054</v>
      </c>
      <c r="D749" s="27" t="n">
        <v>29148</v>
      </c>
      <c r="E749" s="28" t="n">
        <v>674.5</v>
      </c>
      <c r="F749" s="29" t="n">
        <v>0.0553</v>
      </c>
      <c r="G749" s="29" t="n">
        <v>0.1708</v>
      </c>
      <c r="H749" s="30" t="n">
        <v>11.76</v>
      </c>
      <c r="I749" s="29" t="n">
        <v>0.0272</v>
      </c>
      <c r="J749" s="29" t="n">
        <v>0.0284</v>
      </c>
      <c r="K749" s="29" t="n">
        <v>0.0563</v>
      </c>
      <c r="L749" s="27" t="n">
        <v>21</v>
      </c>
      <c r="M749" s="27" t="n">
        <v>19571</v>
      </c>
      <c r="N749" s="30" t="n">
        <v>39.62</v>
      </c>
      <c r="O749" s="30" t="n">
        <v>10.08</v>
      </c>
      <c r="P749" s="29" t="n">
        <v>0.0101</v>
      </c>
      <c r="Q749" s="27" t="n">
        <v>388500</v>
      </c>
      <c r="R749" s="27" t="n">
        <v>151504</v>
      </c>
      <c r="S749" s="27" t="n">
        <v>230481</v>
      </c>
      <c r="T749" s="29" t="n">
        <v>0.773</v>
      </c>
      <c r="U749" s="29" t="n">
        <v>0.274</v>
      </c>
      <c r="V749" s="29" t="n">
        <v>0.841</v>
      </c>
      <c r="W749" s="28" t="n">
        <v>12.8</v>
      </c>
    </row>
    <row r="750" customFormat="false" ht="15" hidden="false" customHeight="false" outlineLevel="0" collapsed="false">
      <c r="A750" s="25" t="s">
        <v>982</v>
      </c>
      <c r="B750" s="25" t="s">
        <v>400</v>
      </c>
      <c r="C750" s="26" t="n">
        <v>46082</v>
      </c>
      <c r="D750" s="27" t="n">
        <v>35546</v>
      </c>
      <c r="E750" s="28" t="n">
        <v>668.7</v>
      </c>
      <c r="F750" s="29" t="n">
        <v>0.0581</v>
      </c>
      <c r="G750" s="29" t="n">
        <v>0.1724</v>
      </c>
      <c r="H750" s="30" t="n">
        <v>12.16</v>
      </c>
      <c r="I750" s="29" t="n">
        <v>0.0303</v>
      </c>
      <c r="J750" s="29" t="n">
        <v>0.0274</v>
      </c>
      <c r="K750" s="29" t="n">
        <v>0.0556</v>
      </c>
      <c r="L750" s="27" t="n">
        <v>24</v>
      </c>
      <c r="M750" s="27" t="n">
        <v>19589</v>
      </c>
      <c r="N750" s="30" t="n">
        <v>38.32</v>
      </c>
      <c r="O750" s="30" t="n">
        <v>9.76</v>
      </c>
      <c r="P750" s="29" t="n">
        <v>0.0098</v>
      </c>
      <c r="Q750" s="27" t="n">
        <v>388500</v>
      </c>
      <c r="R750" s="27" t="n">
        <v>154570</v>
      </c>
      <c r="S750" s="27" t="n">
        <v>282084</v>
      </c>
      <c r="T750" s="29" t="n">
        <v>0.778</v>
      </c>
      <c r="U750" s="29" t="n">
        <v>0.278</v>
      </c>
      <c r="V750" s="29" t="n">
        <v>0.827</v>
      </c>
      <c r="W750" s="28" t="n">
        <v>12.4</v>
      </c>
    </row>
    <row r="751" customFormat="false" ht="15" hidden="false" customHeight="false" outlineLevel="0" collapsed="false">
      <c r="A751" s="25" t="s">
        <v>983</v>
      </c>
      <c r="B751" s="25" t="s">
        <v>400</v>
      </c>
      <c r="C751" s="26" t="n">
        <v>46113</v>
      </c>
      <c r="D751" s="27" t="n">
        <v>35843</v>
      </c>
      <c r="E751" s="28" t="n">
        <v>660.9</v>
      </c>
      <c r="F751" s="29" t="n">
        <v>0.0544</v>
      </c>
      <c r="G751" s="29" t="n">
        <v>0.1724</v>
      </c>
      <c r="H751" s="30" t="n">
        <v>12.26</v>
      </c>
      <c r="I751" s="29" t="n">
        <v>0.0285</v>
      </c>
      <c r="J751" s="29" t="n">
        <v>0.0286</v>
      </c>
      <c r="K751" s="29" t="n">
        <v>0.062</v>
      </c>
      <c r="L751" s="27" t="n">
        <v>26</v>
      </c>
      <c r="M751" s="27" t="n">
        <v>19606</v>
      </c>
      <c r="N751" s="30" t="n">
        <v>39.79</v>
      </c>
      <c r="O751" s="30" t="n">
        <v>10.1</v>
      </c>
      <c r="P751" s="29" t="n">
        <v>0.0097</v>
      </c>
      <c r="Q751" s="27" t="n">
        <v>388500</v>
      </c>
      <c r="R751" s="27" t="n">
        <v>135523</v>
      </c>
      <c r="S751" s="27" t="n">
        <v>266770</v>
      </c>
      <c r="T751" s="29" t="n">
        <v>0.779</v>
      </c>
      <c r="U751" s="29" t="n">
        <v>0.28</v>
      </c>
      <c r="V751" s="29" t="n">
        <v>0.816</v>
      </c>
      <c r="W751" s="28" t="n">
        <v>13.2</v>
      </c>
    </row>
    <row r="752" customFormat="false" ht="15" hidden="false" customHeight="false" outlineLevel="0" collapsed="false">
      <c r="A752" s="25" t="s">
        <v>984</v>
      </c>
      <c r="B752" s="25" t="s">
        <v>400</v>
      </c>
      <c r="C752" s="26" t="n">
        <v>46143</v>
      </c>
      <c r="D752" s="27" t="n">
        <v>34910</v>
      </c>
      <c r="E752" s="28" t="n">
        <v>677.3</v>
      </c>
      <c r="F752" s="29" t="n">
        <v>0.0601</v>
      </c>
      <c r="G752" s="29" t="n">
        <v>0.1678</v>
      </c>
      <c r="H752" s="30" t="n">
        <v>12.04</v>
      </c>
      <c r="I752" s="29" t="n">
        <v>0.0287</v>
      </c>
      <c r="J752" s="29" t="n">
        <v>0.0296</v>
      </c>
      <c r="K752" s="29" t="n">
        <v>0.0638</v>
      </c>
      <c r="L752" s="27" t="n">
        <v>24</v>
      </c>
      <c r="M752" s="27" t="n">
        <v>19624</v>
      </c>
      <c r="N752" s="30" t="n">
        <v>38.99</v>
      </c>
      <c r="O752" s="30" t="n">
        <v>9.81</v>
      </c>
      <c r="P752" s="29" t="n">
        <v>0.0097</v>
      </c>
      <c r="Q752" s="27" t="n">
        <v>388500</v>
      </c>
      <c r="R752" s="27" t="n">
        <v>157249</v>
      </c>
      <c r="S752" s="27" t="n">
        <v>262584</v>
      </c>
      <c r="T752" s="29" t="n">
        <v>0.802</v>
      </c>
      <c r="U752" s="29" t="n">
        <v>0.293</v>
      </c>
      <c r="V752" s="29" t="n">
        <v>0.804</v>
      </c>
      <c r="W752" s="28" t="n">
        <v>13.3</v>
      </c>
    </row>
    <row r="753" customFormat="false" ht="15" hidden="false" customHeight="false" outlineLevel="0" collapsed="false">
      <c r="A753" s="25" t="s">
        <v>985</v>
      </c>
      <c r="B753" s="25" t="s">
        <v>400</v>
      </c>
      <c r="C753" s="26" t="n">
        <v>46174</v>
      </c>
      <c r="D753" s="27" t="n">
        <v>38181</v>
      </c>
      <c r="E753" s="28" t="n">
        <v>667.2</v>
      </c>
      <c r="F753" s="29" t="n">
        <v>0.0531</v>
      </c>
      <c r="G753" s="29" t="n">
        <v>0.1707</v>
      </c>
      <c r="H753" s="30" t="n">
        <v>11.35</v>
      </c>
      <c r="I753" s="29" t="n">
        <v>0.0325</v>
      </c>
      <c r="J753" s="29" t="n">
        <v>0.0283</v>
      </c>
      <c r="K753" s="29" t="n">
        <v>0.0615</v>
      </c>
      <c r="L753" s="27" t="n">
        <v>29</v>
      </c>
      <c r="M753" s="27" t="n">
        <v>19642</v>
      </c>
      <c r="N753" s="30" t="n">
        <v>39.72</v>
      </c>
      <c r="O753" s="30" t="n">
        <v>9.83</v>
      </c>
      <c r="P753" s="29" t="n">
        <v>0.0102</v>
      </c>
      <c r="Q753" s="27" t="n">
        <v>388500</v>
      </c>
      <c r="R753" s="27" t="n">
        <v>150421</v>
      </c>
      <c r="S753" s="27" t="n">
        <v>262431</v>
      </c>
      <c r="T753" s="29" t="n">
        <v>0.788</v>
      </c>
      <c r="U753" s="29" t="n">
        <v>0.292</v>
      </c>
      <c r="V753" s="29" t="n">
        <v>0.83</v>
      </c>
      <c r="W753" s="28" t="n">
        <v>13</v>
      </c>
    </row>
    <row r="754" customFormat="false" ht="15" hidden="false" customHeight="false" outlineLevel="0" collapsed="false">
      <c r="A754" s="25" t="s">
        <v>986</v>
      </c>
      <c r="B754" s="25" t="s">
        <v>400</v>
      </c>
      <c r="C754" s="26" t="n">
        <v>46204</v>
      </c>
      <c r="D754" s="27" t="n">
        <v>37272</v>
      </c>
      <c r="E754" s="28" t="n">
        <v>662.6</v>
      </c>
      <c r="F754" s="29" t="n">
        <v>0.0531</v>
      </c>
      <c r="G754" s="29" t="n">
        <v>0.1717</v>
      </c>
      <c r="H754" s="30" t="n">
        <v>11.28</v>
      </c>
      <c r="I754" s="29" t="n">
        <v>0.0316</v>
      </c>
      <c r="J754" s="29" t="n">
        <v>0.0284</v>
      </c>
      <c r="K754" s="29" t="n">
        <v>0.0554</v>
      </c>
      <c r="L754" s="27" t="n">
        <v>27</v>
      </c>
      <c r="M754" s="27" t="n">
        <v>19660</v>
      </c>
      <c r="N754" s="30" t="n">
        <v>38.33</v>
      </c>
      <c r="O754" s="30" t="n">
        <v>10.05</v>
      </c>
      <c r="P754" s="29" t="n">
        <v>0.0098</v>
      </c>
      <c r="Q754" s="27" t="n">
        <v>388500</v>
      </c>
      <c r="R754" s="27" t="n">
        <v>144488</v>
      </c>
      <c r="S754" s="27" t="n">
        <v>234865</v>
      </c>
      <c r="T754" s="29" t="n">
        <v>0.783</v>
      </c>
      <c r="U754" s="29" t="n">
        <v>0.255</v>
      </c>
      <c r="V754" s="29" t="n">
        <v>0.856</v>
      </c>
      <c r="W754" s="28" t="n">
        <v>12.2</v>
      </c>
    </row>
    <row r="755" customFormat="false" ht="15" hidden="false" customHeight="false" outlineLevel="0" collapsed="false">
      <c r="A755" s="25" t="s">
        <v>987</v>
      </c>
      <c r="B755" s="25" t="s">
        <v>400</v>
      </c>
      <c r="C755" s="26" t="n">
        <v>46235</v>
      </c>
      <c r="D755" s="27" t="n">
        <v>38067</v>
      </c>
      <c r="E755" s="28" t="n">
        <v>651.1</v>
      </c>
      <c r="F755" s="29" t="n">
        <v>0.0517</v>
      </c>
      <c r="G755" s="29" t="n">
        <v>0.1703</v>
      </c>
      <c r="H755" s="30" t="n">
        <v>12.25</v>
      </c>
      <c r="I755" s="29" t="n">
        <v>0.0309</v>
      </c>
      <c r="J755" s="29" t="n">
        <v>0.0284</v>
      </c>
      <c r="K755" s="29" t="n">
        <v>0.0603</v>
      </c>
      <c r="L755" s="27" t="n">
        <v>26</v>
      </c>
      <c r="M755" s="27" t="n">
        <v>19677</v>
      </c>
      <c r="N755" s="30" t="n">
        <v>38.7</v>
      </c>
      <c r="O755" s="30" t="n">
        <v>9.96</v>
      </c>
      <c r="P755" s="29" t="n">
        <v>0.0101</v>
      </c>
      <c r="Q755" s="27" t="n">
        <v>388500</v>
      </c>
      <c r="R755" s="27" t="n">
        <v>151395</v>
      </c>
      <c r="S755" s="27" t="n">
        <v>211394</v>
      </c>
      <c r="T755" s="29" t="n">
        <v>0.78</v>
      </c>
      <c r="U755" s="29" t="n">
        <v>0.278</v>
      </c>
      <c r="V755" s="29" t="n">
        <v>0.84</v>
      </c>
      <c r="W755" s="28" t="n">
        <v>12.5</v>
      </c>
    </row>
    <row r="756" customFormat="false" ht="15" hidden="false" customHeight="false" outlineLevel="0" collapsed="false">
      <c r="A756" s="25" t="s">
        <v>988</v>
      </c>
      <c r="B756" s="25" t="s">
        <v>400</v>
      </c>
      <c r="C756" s="26" t="n">
        <v>46266</v>
      </c>
      <c r="D756" s="27" t="n">
        <v>37916</v>
      </c>
      <c r="E756" s="28" t="n">
        <v>668</v>
      </c>
      <c r="F756" s="29" t="n">
        <v>0.0517</v>
      </c>
      <c r="G756" s="29" t="n">
        <v>0.1686</v>
      </c>
      <c r="H756" s="30" t="n">
        <v>12.69</v>
      </c>
      <c r="I756" s="29" t="n">
        <v>0.0312</v>
      </c>
      <c r="J756" s="29" t="n">
        <v>0.0288</v>
      </c>
      <c r="K756" s="29" t="n">
        <v>0.0661</v>
      </c>
      <c r="L756" s="27" t="n">
        <v>26</v>
      </c>
      <c r="M756" s="27" t="n">
        <v>19695</v>
      </c>
      <c r="N756" s="30" t="n">
        <v>38.82</v>
      </c>
      <c r="O756" s="30" t="n">
        <v>9.84</v>
      </c>
      <c r="P756" s="29" t="n">
        <v>0.0101</v>
      </c>
      <c r="Q756" s="27" t="n">
        <v>388500</v>
      </c>
      <c r="R756" s="27" t="n">
        <v>147235</v>
      </c>
      <c r="S756" s="27" t="n">
        <v>226304</v>
      </c>
      <c r="T756" s="29" t="n">
        <v>0.781</v>
      </c>
      <c r="U756" s="29" t="n">
        <v>0.274</v>
      </c>
      <c r="V756" s="29" t="n">
        <v>0.824</v>
      </c>
      <c r="W756" s="28" t="n">
        <v>12.6</v>
      </c>
    </row>
    <row r="757" customFormat="false" ht="15" hidden="false" customHeight="false" outlineLevel="0" collapsed="false">
      <c r="A757" s="25" t="s">
        <v>989</v>
      </c>
      <c r="B757" s="25" t="s">
        <v>401</v>
      </c>
      <c r="C757" s="26" t="n">
        <v>45931</v>
      </c>
      <c r="D757" s="27" t="n">
        <v>35745</v>
      </c>
      <c r="E757" s="28" t="n">
        <v>574.7</v>
      </c>
      <c r="F757" s="29" t="n">
        <v>0.0684</v>
      </c>
      <c r="G757" s="29" t="n">
        <v>0.1686</v>
      </c>
      <c r="H757" s="30" t="n">
        <v>12.57</v>
      </c>
      <c r="I757" s="29" t="n">
        <v>0.0289</v>
      </c>
      <c r="J757" s="29" t="n">
        <v>0.0188</v>
      </c>
      <c r="K757" s="29" t="n">
        <v>0.0287</v>
      </c>
      <c r="L757" s="27" t="n">
        <v>26</v>
      </c>
      <c r="M757" s="27" t="n">
        <v>19500</v>
      </c>
      <c r="N757" s="30" t="n">
        <v>36.66</v>
      </c>
      <c r="O757" s="30" t="n">
        <v>10.01</v>
      </c>
      <c r="P757" s="29" t="n">
        <v>0.0095</v>
      </c>
      <c r="Q757" s="27" t="n">
        <v>760000</v>
      </c>
      <c r="R757" s="27" t="n">
        <v>193497</v>
      </c>
      <c r="S757" s="27" t="n">
        <v>170728</v>
      </c>
      <c r="T757" s="29" t="n">
        <v>0.809</v>
      </c>
      <c r="U757" s="29" t="n">
        <v>0.266</v>
      </c>
      <c r="V757" s="29" t="n">
        <v>0.883</v>
      </c>
      <c r="W757" s="28" t="n">
        <v>11.7</v>
      </c>
    </row>
    <row r="758" customFormat="false" ht="15" hidden="false" customHeight="false" outlineLevel="0" collapsed="false">
      <c r="A758" s="25" t="s">
        <v>990</v>
      </c>
      <c r="B758" s="25" t="s">
        <v>401</v>
      </c>
      <c r="C758" s="26" t="n">
        <v>45962</v>
      </c>
      <c r="D758" s="27" t="n">
        <v>38558</v>
      </c>
      <c r="E758" s="28" t="n">
        <v>573.1</v>
      </c>
      <c r="F758" s="29" t="n">
        <v>0.0649</v>
      </c>
      <c r="G758" s="29" t="n">
        <v>0.1681</v>
      </c>
      <c r="H758" s="30" t="n">
        <v>12.28</v>
      </c>
      <c r="I758" s="29" t="n">
        <v>0.0323</v>
      </c>
      <c r="J758" s="29" t="n">
        <v>0.0177</v>
      </c>
      <c r="K758" s="29" t="n">
        <v>0.0262</v>
      </c>
      <c r="L758" s="27" t="n">
        <v>29</v>
      </c>
      <c r="M758" s="27" t="n">
        <v>19518</v>
      </c>
      <c r="N758" s="30" t="n">
        <v>36.89</v>
      </c>
      <c r="O758" s="30" t="n">
        <v>9.59</v>
      </c>
      <c r="P758" s="29" t="n">
        <v>0.0103</v>
      </c>
      <c r="Q758" s="27" t="n">
        <v>760000</v>
      </c>
      <c r="R758" s="27" t="n">
        <v>200862</v>
      </c>
      <c r="S758" s="27" t="n">
        <v>198725</v>
      </c>
      <c r="T758" s="29" t="n">
        <v>0.805</v>
      </c>
      <c r="U758" s="29" t="n">
        <v>0.27</v>
      </c>
      <c r="V758" s="29" t="n">
        <v>0.896</v>
      </c>
      <c r="W758" s="28" t="n">
        <v>11.4</v>
      </c>
    </row>
    <row r="759" customFormat="false" ht="15" hidden="false" customHeight="false" outlineLevel="0" collapsed="false">
      <c r="A759" s="25" t="s">
        <v>991</v>
      </c>
      <c r="B759" s="25" t="s">
        <v>401</v>
      </c>
      <c r="C759" s="26" t="n">
        <v>45992</v>
      </c>
      <c r="D759" s="27" t="n">
        <v>38132</v>
      </c>
      <c r="E759" s="28" t="n">
        <v>563.5</v>
      </c>
      <c r="F759" s="29" t="n">
        <v>0.0661</v>
      </c>
      <c r="G759" s="29" t="n">
        <v>0.1696</v>
      </c>
      <c r="H759" s="30" t="n">
        <v>13.03</v>
      </c>
      <c r="I759" s="29" t="n">
        <v>0.0318</v>
      </c>
      <c r="J759" s="29" t="n">
        <v>0.0168</v>
      </c>
      <c r="K759" s="29" t="n">
        <v>0.0294</v>
      </c>
      <c r="L759" s="27" t="n">
        <v>28</v>
      </c>
      <c r="M759" s="27" t="n">
        <v>19535</v>
      </c>
      <c r="N759" s="30" t="n">
        <v>35.75</v>
      </c>
      <c r="O759" s="30" t="n">
        <v>9.73</v>
      </c>
      <c r="P759" s="29" t="n">
        <v>0.0103</v>
      </c>
      <c r="Q759" s="27" t="n">
        <v>760000</v>
      </c>
      <c r="R759" s="27" t="n">
        <v>186486</v>
      </c>
      <c r="S759" s="27" t="n">
        <v>162081</v>
      </c>
      <c r="T759" s="29" t="n">
        <v>0.825</v>
      </c>
      <c r="U759" s="29" t="n">
        <v>0.271</v>
      </c>
      <c r="V759" s="29" t="n">
        <v>0.881</v>
      </c>
      <c r="W759" s="28" t="n">
        <v>12.2</v>
      </c>
    </row>
    <row r="760" customFormat="false" ht="15" hidden="false" customHeight="false" outlineLevel="0" collapsed="false">
      <c r="A760" s="25" t="s">
        <v>992</v>
      </c>
      <c r="B760" s="25" t="s">
        <v>401</v>
      </c>
      <c r="C760" s="26" t="n">
        <v>46023</v>
      </c>
      <c r="D760" s="27" t="n">
        <v>37955</v>
      </c>
      <c r="E760" s="28" t="n">
        <v>582.2</v>
      </c>
      <c r="F760" s="29" t="n">
        <v>0.0655</v>
      </c>
      <c r="G760" s="29" t="n">
        <v>0.1688</v>
      </c>
      <c r="H760" s="30" t="n">
        <v>11.75</v>
      </c>
      <c r="I760" s="29" t="n">
        <v>0.0311</v>
      </c>
      <c r="J760" s="29" t="n">
        <v>0.0179</v>
      </c>
      <c r="K760" s="29" t="n">
        <v>0.0291</v>
      </c>
      <c r="L760" s="27" t="n">
        <v>28</v>
      </c>
      <c r="M760" s="27" t="n">
        <v>19553</v>
      </c>
      <c r="N760" s="30" t="n">
        <v>37.02</v>
      </c>
      <c r="O760" s="30" t="n">
        <v>9.73</v>
      </c>
      <c r="P760" s="29" t="n">
        <v>0.0099</v>
      </c>
      <c r="Q760" s="27" t="n">
        <v>760000</v>
      </c>
      <c r="R760" s="27" t="n">
        <v>191124</v>
      </c>
      <c r="S760" s="27" t="n">
        <v>176577</v>
      </c>
      <c r="T760" s="29" t="n">
        <v>0.795</v>
      </c>
      <c r="U760" s="29" t="n">
        <v>0.282</v>
      </c>
      <c r="V760" s="29" t="n">
        <v>0.87</v>
      </c>
      <c r="W760" s="28" t="n">
        <v>11.5</v>
      </c>
    </row>
    <row r="761" customFormat="false" ht="15" hidden="false" customHeight="false" outlineLevel="0" collapsed="false">
      <c r="A761" s="25" t="s">
        <v>993</v>
      </c>
      <c r="B761" s="25" t="s">
        <v>401</v>
      </c>
      <c r="C761" s="26" t="n">
        <v>46054</v>
      </c>
      <c r="D761" s="27" t="n">
        <v>33638</v>
      </c>
      <c r="E761" s="28" t="n">
        <v>572.1</v>
      </c>
      <c r="F761" s="29" t="n">
        <v>0.0665</v>
      </c>
      <c r="G761" s="29" t="n">
        <v>0.1718</v>
      </c>
      <c r="H761" s="30" t="n">
        <v>12.2</v>
      </c>
      <c r="I761" s="29" t="n">
        <v>0.0312</v>
      </c>
      <c r="J761" s="29" t="n">
        <v>0.0175</v>
      </c>
      <c r="K761" s="29" t="n">
        <v>0.0252</v>
      </c>
      <c r="L761" s="27" t="n">
        <v>27</v>
      </c>
      <c r="M761" s="27" t="n">
        <v>19571</v>
      </c>
      <c r="N761" s="30" t="n">
        <v>36.52</v>
      </c>
      <c r="O761" s="30" t="n">
        <v>9.86</v>
      </c>
      <c r="P761" s="29" t="n">
        <v>0.0096</v>
      </c>
      <c r="Q761" s="27" t="n">
        <v>760000</v>
      </c>
      <c r="R761" s="27" t="n">
        <v>180748</v>
      </c>
      <c r="S761" s="27" t="n">
        <v>140642</v>
      </c>
      <c r="T761" s="29" t="n">
        <v>0.784</v>
      </c>
      <c r="U761" s="29" t="n">
        <v>0.285</v>
      </c>
      <c r="V761" s="29" t="n">
        <v>0.894</v>
      </c>
      <c r="W761" s="28" t="n">
        <v>11.1</v>
      </c>
    </row>
    <row r="762" customFormat="false" ht="15" hidden="false" customHeight="false" outlineLevel="0" collapsed="false">
      <c r="A762" s="25" t="s">
        <v>994</v>
      </c>
      <c r="B762" s="25" t="s">
        <v>401</v>
      </c>
      <c r="C762" s="26" t="n">
        <v>46082</v>
      </c>
      <c r="D762" s="27" t="n">
        <v>40469</v>
      </c>
      <c r="E762" s="28" t="n">
        <v>573.4</v>
      </c>
      <c r="F762" s="29" t="n">
        <v>0.0664</v>
      </c>
      <c r="G762" s="29" t="n">
        <v>0.1664</v>
      </c>
      <c r="H762" s="30" t="n">
        <v>12.64</v>
      </c>
      <c r="I762" s="29" t="n">
        <v>0.0342</v>
      </c>
      <c r="J762" s="29" t="n">
        <v>0.0181</v>
      </c>
      <c r="K762" s="29" t="n">
        <v>0.0164</v>
      </c>
      <c r="L762" s="27" t="n">
        <v>30</v>
      </c>
      <c r="M762" s="27" t="n">
        <v>19589</v>
      </c>
      <c r="N762" s="30" t="n">
        <v>37.03</v>
      </c>
      <c r="O762" s="30" t="n">
        <v>9.85</v>
      </c>
      <c r="P762" s="29" t="n">
        <v>0.0098</v>
      </c>
      <c r="Q762" s="27" t="n">
        <v>760000</v>
      </c>
      <c r="R762" s="27" t="n">
        <v>186090</v>
      </c>
      <c r="S762" s="27" t="n">
        <v>192182</v>
      </c>
      <c r="T762" s="29" t="n">
        <v>0.808</v>
      </c>
      <c r="U762" s="29" t="n">
        <v>0.273</v>
      </c>
      <c r="V762" s="29" t="n">
        <v>0.921</v>
      </c>
      <c r="W762" s="28" t="n">
        <v>11.3</v>
      </c>
    </row>
    <row r="763" customFormat="false" ht="15" hidden="false" customHeight="false" outlineLevel="0" collapsed="false">
      <c r="A763" s="25" t="s">
        <v>995</v>
      </c>
      <c r="B763" s="25" t="s">
        <v>401</v>
      </c>
      <c r="C763" s="26" t="n">
        <v>46113</v>
      </c>
      <c r="D763" s="27" t="n">
        <v>38634</v>
      </c>
      <c r="E763" s="28" t="n">
        <v>576.9</v>
      </c>
      <c r="F763" s="29" t="n">
        <v>0.0665</v>
      </c>
      <c r="G763" s="29" t="n">
        <v>0.168</v>
      </c>
      <c r="H763" s="30" t="n">
        <v>12.53</v>
      </c>
      <c r="I763" s="29" t="n">
        <v>0.0316</v>
      </c>
      <c r="J763" s="29" t="n">
        <v>0.0179</v>
      </c>
      <c r="K763" s="29" t="n">
        <v>0.02</v>
      </c>
      <c r="L763" s="27" t="n">
        <v>29</v>
      </c>
      <c r="M763" s="27" t="n">
        <v>19606</v>
      </c>
      <c r="N763" s="30" t="n">
        <v>35.95</v>
      </c>
      <c r="O763" s="30" t="n">
        <v>9.34</v>
      </c>
      <c r="P763" s="29" t="n">
        <v>0.0097</v>
      </c>
      <c r="Q763" s="27" t="n">
        <v>760000</v>
      </c>
      <c r="R763" s="27" t="n">
        <v>186002</v>
      </c>
      <c r="S763" s="27" t="n">
        <v>167613</v>
      </c>
      <c r="T763" s="29" t="n">
        <v>0.823</v>
      </c>
      <c r="U763" s="29" t="n">
        <v>0.278</v>
      </c>
      <c r="V763" s="29" t="n">
        <v>0.89</v>
      </c>
      <c r="W763" s="28" t="n">
        <v>12</v>
      </c>
    </row>
    <row r="764" customFormat="false" ht="15" hidden="false" customHeight="false" outlineLevel="0" collapsed="false">
      <c r="A764" s="25" t="s">
        <v>996</v>
      </c>
      <c r="B764" s="25" t="s">
        <v>401</v>
      </c>
      <c r="C764" s="26" t="n">
        <v>46143</v>
      </c>
      <c r="D764" s="27" t="n">
        <v>42556</v>
      </c>
      <c r="E764" s="28" t="n">
        <v>588.4</v>
      </c>
      <c r="F764" s="29" t="n">
        <v>0.0653</v>
      </c>
      <c r="G764" s="29" t="n">
        <v>0.1703</v>
      </c>
      <c r="H764" s="30" t="n">
        <v>11.68</v>
      </c>
      <c r="I764" s="29" t="n">
        <v>0.0327</v>
      </c>
      <c r="J764" s="29" t="n">
        <v>0.0174</v>
      </c>
      <c r="K764" s="29" t="n">
        <v>0.0274</v>
      </c>
      <c r="L764" s="27" t="n">
        <v>30</v>
      </c>
      <c r="M764" s="27" t="n">
        <v>19624</v>
      </c>
      <c r="N764" s="30" t="n">
        <v>37.4</v>
      </c>
      <c r="O764" s="30" t="n">
        <v>10.01</v>
      </c>
      <c r="P764" s="29" t="n">
        <v>0.0103</v>
      </c>
      <c r="Q764" s="27" t="n">
        <v>760000</v>
      </c>
      <c r="R764" s="27" t="n">
        <v>189367</v>
      </c>
      <c r="S764" s="27" t="n">
        <v>198588</v>
      </c>
      <c r="T764" s="29" t="n">
        <v>0.818</v>
      </c>
      <c r="U764" s="29" t="n">
        <v>0.284</v>
      </c>
      <c r="V764" s="29" t="n">
        <v>0.884</v>
      </c>
      <c r="W764" s="28" t="n">
        <v>11.9</v>
      </c>
    </row>
    <row r="765" customFormat="false" ht="15" hidden="false" customHeight="false" outlineLevel="0" collapsed="false">
      <c r="A765" s="25" t="s">
        <v>997</v>
      </c>
      <c r="B765" s="25" t="s">
        <v>401</v>
      </c>
      <c r="C765" s="26" t="n">
        <v>46174</v>
      </c>
      <c r="D765" s="27" t="n">
        <v>42824</v>
      </c>
      <c r="E765" s="28" t="n">
        <v>570.6</v>
      </c>
      <c r="F765" s="29" t="n">
        <v>0.0656</v>
      </c>
      <c r="G765" s="29" t="n">
        <v>0.173</v>
      </c>
      <c r="H765" s="30" t="n">
        <v>11.89</v>
      </c>
      <c r="I765" s="29" t="n">
        <v>0.0334</v>
      </c>
      <c r="J765" s="29" t="n">
        <v>0.0169</v>
      </c>
      <c r="K765" s="29" t="n">
        <v>0.0259</v>
      </c>
      <c r="L765" s="27" t="n">
        <v>32</v>
      </c>
      <c r="M765" s="27" t="n">
        <v>19642</v>
      </c>
      <c r="N765" s="30" t="n">
        <v>37.28</v>
      </c>
      <c r="O765" s="30" t="n">
        <v>9.78</v>
      </c>
      <c r="P765" s="29" t="n">
        <v>0.0097</v>
      </c>
      <c r="Q765" s="27" t="n">
        <v>760000</v>
      </c>
      <c r="R765" s="27" t="n">
        <v>186069</v>
      </c>
      <c r="S765" s="27" t="n">
        <v>210524</v>
      </c>
      <c r="T765" s="29" t="n">
        <v>0.823</v>
      </c>
      <c r="U765" s="29" t="n">
        <v>0.269</v>
      </c>
      <c r="V765" s="29" t="n">
        <v>0.896</v>
      </c>
      <c r="W765" s="28" t="n">
        <v>12.2</v>
      </c>
    </row>
    <row r="766" customFormat="false" ht="15" hidden="false" customHeight="false" outlineLevel="0" collapsed="false">
      <c r="A766" s="25" t="s">
        <v>998</v>
      </c>
      <c r="B766" s="25" t="s">
        <v>401</v>
      </c>
      <c r="C766" s="26" t="n">
        <v>46204</v>
      </c>
      <c r="D766" s="27" t="n">
        <v>41229</v>
      </c>
      <c r="E766" s="28" t="n">
        <v>588.8</v>
      </c>
      <c r="F766" s="29" t="n">
        <v>0.0664</v>
      </c>
      <c r="G766" s="29" t="n">
        <v>0.1713</v>
      </c>
      <c r="H766" s="30" t="n">
        <v>11.82</v>
      </c>
      <c r="I766" s="29" t="n">
        <v>0.0324</v>
      </c>
      <c r="J766" s="29" t="n">
        <v>0.0179</v>
      </c>
      <c r="K766" s="29" t="n">
        <v>0.0294</v>
      </c>
      <c r="L766" s="27" t="n">
        <v>30</v>
      </c>
      <c r="M766" s="27" t="n">
        <v>19660</v>
      </c>
      <c r="N766" s="30" t="n">
        <v>36.59</v>
      </c>
      <c r="O766" s="30" t="n">
        <v>9.54</v>
      </c>
      <c r="P766" s="29" t="n">
        <v>0.0095</v>
      </c>
      <c r="Q766" s="27" t="n">
        <v>760000</v>
      </c>
      <c r="R766" s="27" t="n">
        <v>184963</v>
      </c>
      <c r="S766" s="27" t="n">
        <v>162257</v>
      </c>
      <c r="T766" s="29" t="n">
        <v>0.817</v>
      </c>
      <c r="U766" s="29" t="n">
        <v>0.268</v>
      </c>
      <c r="V766" s="29" t="n">
        <v>0.897</v>
      </c>
      <c r="W766" s="28" t="n">
        <v>11.6</v>
      </c>
    </row>
    <row r="767" customFormat="false" ht="15" hidden="false" customHeight="false" outlineLevel="0" collapsed="false">
      <c r="A767" s="25" t="s">
        <v>999</v>
      </c>
      <c r="B767" s="25" t="s">
        <v>401</v>
      </c>
      <c r="C767" s="26" t="n">
        <v>46235</v>
      </c>
      <c r="D767" s="27" t="n">
        <v>40388</v>
      </c>
      <c r="E767" s="28" t="n">
        <v>574.1</v>
      </c>
      <c r="F767" s="29" t="n">
        <v>0.0643</v>
      </c>
      <c r="G767" s="29" t="n">
        <v>0.1696</v>
      </c>
      <c r="H767" s="30" t="n">
        <v>12.52</v>
      </c>
      <c r="I767" s="29" t="n">
        <v>0.0314</v>
      </c>
      <c r="J767" s="29" t="n">
        <v>0.0177</v>
      </c>
      <c r="K767" s="29" t="n">
        <v>0.0246</v>
      </c>
      <c r="L767" s="27" t="n">
        <v>28</v>
      </c>
      <c r="M767" s="27" t="n">
        <v>19677</v>
      </c>
      <c r="N767" s="30" t="n">
        <v>36.61</v>
      </c>
      <c r="O767" s="30" t="n">
        <v>9.76</v>
      </c>
      <c r="P767" s="29" t="n">
        <v>0.0098</v>
      </c>
      <c r="Q767" s="27" t="n">
        <v>760000</v>
      </c>
      <c r="R767" s="27" t="n">
        <v>186093</v>
      </c>
      <c r="S767" s="27" t="n">
        <v>159585</v>
      </c>
      <c r="T767" s="29" t="n">
        <v>0.801</v>
      </c>
      <c r="U767" s="29" t="n">
        <v>0.289</v>
      </c>
      <c r="V767" s="29" t="n">
        <v>0.902</v>
      </c>
      <c r="W767" s="28" t="n">
        <v>11.2</v>
      </c>
    </row>
    <row r="768" customFormat="false" ht="15" hidden="false" customHeight="false" outlineLevel="0" collapsed="false">
      <c r="A768" s="25" t="s">
        <v>1000</v>
      </c>
      <c r="B768" s="25" t="s">
        <v>401</v>
      </c>
      <c r="C768" s="26" t="n">
        <v>46266</v>
      </c>
      <c r="D768" s="27" t="n">
        <v>38025</v>
      </c>
      <c r="E768" s="28" t="n">
        <v>576.9</v>
      </c>
      <c r="F768" s="29" t="n">
        <v>0.0653</v>
      </c>
      <c r="G768" s="29" t="n">
        <v>0.1706</v>
      </c>
      <c r="H768" s="30" t="n">
        <v>11.74</v>
      </c>
      <c r="I768" s="29" t="n">
        <v>0.0291</v>
      </c>
      <c r="J768" s="29" t="n">
        <v>0.0175</v>
      </c>
      <c r="K768" s="29" t="n">
        <v>0.0265</v>
      </c>
      <c r="L768" s="27" t="n">
        <v>29</v>
      </c>
      <c r="M768" s="27" t="n">
        <v>19695</v>
      </c>
      <c r="N768" s="30" t="n">
        <v>35.97</v>
      </c>
      <c r="O768" s="30" t="n">
        <v>9.63</v>
      </c>
      <c r="P768" s="29" t="n">
        <v>0.0103</v>
      </c>
      <c r="Q768" s="27" t="n">
        <v>760000</v>
      </c>
      <c r="R768" s="27" t="n">
        <v>180255</v>
      </c>
      <c r="S768" s="27" t="n">
        <v>168078</v>
      </c>
      <c r="T768" s="29" t="n">
        <v>0.797</v>
      </c>
      <c r="U768" s="29" t="n">
        <v>0.273</v>
      </c>
      <c r="V768" s="29" t="n">
        <v>0.901</v>
      </c>
      <c r="W768" s="28" t="n">
        <v>11.4</v>
      </c>
    </row>
    <row r="769" customFormat="false" ht="15" hidden="false" customHeight="false" outlineLevel="0" collapsed="false">
      <c r="A769" s="25" t="s">
        <v>1001</v>
      </c>
      <c r="B769" s="25" t="s">
        <v>403</v>
      </c>
      <c r="C769" s="26" t="n">
        <v>45931</v>
      </c>
      <c r="D769" s="27" t="n">
        <v>2009</v>
      </c>
      <c r="E769" s="28" t="n">
        <v>641.7</v>
      </c>
      <c r="F769" s="29" t="n">
        <v>0.0841</v>
      </c>
      <c r="G769" s="29" t="n">
        <v>0.1598</v>
      </c>
      <c r="H769" s="30" t="n">
        <v>12.23</v>
      </c>
      <c r="I769" s="29" t="n">
        <v>0.0196</v>
      </c>
      <c r="J769" s="29" t="n">
        <v>0.0409</v>
      </c>
      <c r="K769" s="29" t="n">
        <v>0.0414</v>
      </c>
      <c r="L769" s="27" t="n">
        <v>16</v>
      </c>
      <c r="M769" s="27" t="n">
        <v>19500</v>
      </c>
      <c r="N769" s="30" t="n">
        <v>47.8</v>
      </c>
      <c r="O769" s="30" t="n">
        <v>9.58</v>
      </c>
      <c r="P769" s="29" t="n">
        <v>0.01</v>
      </c>
      <c r="Q769" s="27" t="n">
        <v>490000</v>
      </c>
      <c r="R769" s="27" t="n">
        <v>148714</v>
      </c>
      <c r="S769" s="27" t="n">
        <v>38492</v>
      </c>
      <c r="T769" s="29" t="n">
        <v>0.537</v>
      </c>
      <c r="U769" s="29" t="n">
        <v>0.274</v>
      </c>
      <c r="V769" s="29" t="n">
        <v>0.831</v>
      </c>
      <c r="W769" s="28" t="n">
        <v>13</v>
      </c>
    </row>
    <row r="770" customFormat="false" ht="15" hidden="false" customHeight="false" outlineLevel="0" collapsed="false">
      <c r="A770" s="25" t="s">
        <v>1002</v>
      </c>
      <c r="B770" s="25" t="s">
        <v>403</v>
      </c>
      <c r="C770" s="26" t="n">
        <v>45962</v>
      </c>
      <c r="D770" s="27" t="n">
        <v>2047</v>
      </c>
      <c r="E770" s="28" t="n">
        <v>617.1</v>
      </c>
      <c r="F770" s="29" t="n">
        <v>0.0803</v>
      </c>
      <c r="G770" s="29" t="n">
        <v>0.1616</v>
      </c>
      <c r="H770" s="30" t="n">
        <v>12.8</v>
      </c>
      <c r="I770" s="29" t="n">
        <v>0.0174</v>
      </c>
      <c r="J770" s="29" t="n">
        <v>0.0424</v>
      </c>
      <c r="K770" s="29" t="n">
        <v>0.0489</v>
      </c>
      <c r="L770" s="27" t="n">
        <v>17</v>
      </c>
      <c r="M770" s="27" t="n">
        <v>19518</v>
      </c>
      <c r="N770" s="30" t="n">
        <v>48.34</v>
      </c>
      <c r="O770" s="30" t="n">
        <v>9.38</v>
      </c>
      <c r="P770" s="29" t="n">
        <v>0.01</v>
      </c>
      <c r="Q770" s="27" t="n">
        <v>490000</v>
      </c>
      <c r="R770" s="27" t="n">
        <v>154593</v>
      </c>
      <c r="S770" s="27" t="n">
        <v>38316</v>
      </c>
      <c r="T770" s="29" t="n">
        <v>0.589</v>
      </c>
      <c r="U770" s="29" t="n">
        <v>0.288</v>
      </c>
      <c r="V770" s="29" t="n">
        <v>0.857</v>
      </c>
      <c r="W770" s="28" t="n">
        <v>12.2</v>
      </c>
    </row>
    <row r="771" customFormat="false" ht="15" hidden="false" customHeight="false" outlineLevel="0" collapsed="false">
      <c r="A771" s="25" t="s">
        <v>1003</v>
      </c>
      <c r="B771" s="25" t="s">
        <v>403</v>
      </c>
      <c r="C771" s="26" t="n">
        <v>45992</v>
      </c>
      <c r="D771" s="27" t="n">
        <v>3919</v>
      </c>
      <c r="E771" s="28" t="n">
        <v>638</v>
      </c>
      <c r="F771" s="29" t="n">
        <v>0.0808</v>
      </c>
      <c r="G771" s="29" t="n">
        <v>0.1682</v>
      </c>
      <c r="H771" s="30" t="n">
        <v>12.2</v>
      </c>
      <c r="I771" s="29" t="n">
        <v>0.0194</v>
      </c>
      <c r="J771" s="29" t="n">
        <v>0.0398</v>
      </c>
      <c r="K771" s="29" t="n">
        <v>0.0393</v>
      </c>
      <c r="L771" s="27" t="n">
        <v>16</v>
      </c>
      <c r="M771" s="27" t="n">
        <v>19535</v>
      </c>
      <c r="N771" s="30" t="n">
        <v>48.24</v>
      </c>
      <c r="O771" s="30" t="n">
        <v>10.16</v>
      </c>
      <c r="P771" s="29" t="n">
        <v>0.0094</v>
      </c>
      <c r="Q771" s="27" t="n">
        <v>490000</v>
      </c>
      <c r="R771" s="27" t="n">
        <v>143570</v>
      </c>
      <c r="S771" s="27" t="n">
        <v>69885</v>
      </c>
      <c r="T771" s="29" t="n">
        <v>0.598</v>
      </c>
      <c r="U771" s="29" t="n">
        <v>0.274</v>
      </c>
      <c r="V771" s="29" t="n">
        <v>0.855</v>
      </c>
      <c r="W771" s="28" t="n">
        <v>12.1</v>
      </c>
    </row>
    <row r="772" customFormat="false" ht="15" hidden="false" customHeight="false" outlineLevel="0" collapsed="false">
      <c r="A772" s="25" t="s">
        <v>1004</v>
      </c>
      <c r="B772" s="25" t="s">
        <v>403</v>
      </c>
      <c r="C772" s="26" t="n">
        <v>46023</v>
      </c>
      <c r="D772" s="27" t="n">
        <v>5372</v>
      </c>
      <c r="E772" s="28" t="n">
        <v>637.8</v>
      </c>
      <c r="F772" s="29" t="n">
        <v>0.0703</v>
      </c>
      <c r="G772" s="29" t="n">
        <v>0.165</v>
      </c>
      <c r="H772" s="30" t="n">
        <v>12.72</v>
      </c>
      <c r="I772" s="29" t="n">
        <v>0.0187</v>
      </c>
      <c r="J772" s="29" t="n">
        <v>0.0415</v>
      </c>
      <c r="K772" s="29" t="n">
        <v>0.0423</v>
      </c>
      <c r="L772" s="27" t="n">
        <v>16</v>
      </c>
      <c r="M772" s="27" t="n">
        <v>19553</v>
      </c>
      <c r="N772" s="30" t="n">
        <v>46.74</v>
      </c>
      <c r="O772" s="30" t="n">
        <v>9.78</v>
      </c>
      <c r="P772" s="29" t="n">
        <v>0.0098</v>
      </c>
      <c r="Q772" s="27" t="n">
        <v>490000</v>
      </c>
      <c r="R772" s="27" t="n">
        <v>152875</v>
      </c>
      <c r="S772" s="27" t="n">
        <v>88256</v>
      </c>
      <c r="T772" s="29" t="n">
        <v>0.623</v>
      </c>
      <c r="U772" s="29" t="n">
        <v>0.245</v>
      </c>
      <c r="V772" s="29" t="n">
        <v>0.858</v>
      </c>
      <c r="W772" s="28" t="n">
        <v>13.1</v>
      </c>
    </row>
    <row r="773" customFormat="false" ht="15" hidden="false" customHeight="false" outlineLevel="0" collapsed="false">
      <c r="A773" s="25" t="s">
        <v>1005</v>
      </c>
      <c r="B773" s="25" t="s">
        <v>403</v>
      </c>
      <c r="C773" s="26" t="n">
        <v>46054</v>
      </c>
      <c r="D773" s="27" t="n">
        <v>6013</v>
      </c>
      <c r="E773" s="28" t="n">
        <v>604.9</v>
      </c>
      <c r="F773" s="29" t="n">
        <v>0.0702</v>
      </c>
      <c r="G773" s="29" t="n">
        <v>0.1647</v>
      </c>
      <c r="H773" s="30" t="n">
        <v>12.19</v>
      </c>
      <c r="I773" s="29" t="n">
        <v>0.0174</v>
      </c>
      <c r="J773" s="29" t="n">
        <v>0.039</v>
      </c>
      <c r="K773" s="29" t="n">
        <v>0.0464</v>
      </c>
      <c r="L773" s="27" t="n">
        <v>16</v>
      </c>
      <c r="M773" s="27" t="n">
        <v>19571</v>
      </c>
      <c r="N773" s="30" t="n">
        <v>45.63</v>
      </c>
      <c r="O773" s="30" t="n">
        <v>9.47</v>
      </c>
      <c r="P773" s="29" t="n">
        <v>0.0101</v>
      </c>
      <c r="Q773" s="27" t="n">
        <v>490000</v>
      </c>
      <c r="R773" s="27" t="n">
        <v>143690</v>
      </c>
      <c r="S773" s="27" t="n">
        <v>81922</v>
      </c>
      <c r="T773" s="29" t="n">
        <v>0.646</v>
      </c>
      <c r="U773" s="29" t="n">
        <v>0.257</v>
      </c>
      <c r="V773" s="29" t="n">
        <v>0.862</v>
      </c>
      <c r="W773" s="28" t="n">
        <v>11.7</v>
      </c>
    </row>
    <row r="774" customFormat="false" ht="15" hidden="false" customHeight="false" outlineLevel="0" collapsed="false">
      <c r="A774" s="25" t="s">
        <v>1006</v>
      </c>
      <c r="B774" s="25" t="s">
        <v>403</v>
      </c>
      <c r="C774" s="26" t="n">
        <v>46082</v>
      </c>
      <c r="D774" s="27" t="n">
        <v>8280</v>
      </c>
      <c r="E774" s="28" t="n">
        <v>619.5</v>
      </c>
      <c r="F774" s="29" t="n">
        <v>0.0669</v>
      </c>
      <c r="G774" s="29" t="n">
        <v>0.1676</v>
      </c>
      <c r="H774" s="30" t="n">
        <v>13</v>
      </c>
      <c r="I774" s="29" t="n">
        <v>0.0193</v>
      </c>
      <c r="J774" s="29" t="n">
        <v>0.0382</v>
      </c>
      <c r="K774" s="29" t="n">
        <v>0.0484</v>
      </c>
      <c r="L774" s="27" t="n">
        <v>16</v>
      </c>
      <c r="M774" s="27" t="n">
        <v>19589</v>
      </c>
      <c r="N774" s="30" t="n">
        <v>46.4</v>
      </c>
      <c r="O774" s="30" t="n">
        <v>9.93</v>
      </c>
      <c r="P774" s="29" t="n">
        <v>0.0098</v>
      </c>
      <c r="Q774" s="27" t="n">
        <v>490000</v>
      </c>
      <c r="R774" s="27" t="n">
        <v>158179</v>
      </c>
      <c r="S774" s="27" t="n">
        <v>110113</v>
      </c>
      <c r="T774" s="29" t="n">
        <v>0.68</v>
      </c>
      <c r="U774" s="29" t="n">
        <v>0.282</v>
      </c>
      <c r="V774" s="29" t="n">
        <v>0.856</v>
      </c>
      <c r="W774" s="28" t="n">
        <v>12</v>
      </c>
    </row>
    <row r="775" customFormat="false" ht="15" hidden="false" customHeight="false" outlineLevel="0" collapsed="false">
      <c r="A775" s="25" t="s">
        <v>1007</v>
      </c>
      <c r="B775" s="25" t="s">
        <v>403</v>
      </c>
      <c r="C775" s="26" t="n">
        <v>46113</v>
      </c>
      <c r="D775" s="27" t="n">
        <v>9784</v>
      </c>
      <c r="E775" s="28" t="n">
        <v>620.8</v>
      </c>
      <c r="F775" s="29" t="n">
        <v>0.0667</v>
      </c>
      <c r="G775" s="29" t="n">
        <v>0.164</v>
      </c>
      <c r="H775" s="30" t="n">
        <v>12.38</v>
      </c>
      <c r="I775" s="29" t="n">
        <v>0.0179</v>
      </c>
      <c r="J775" s="29" t="n">
        <v>0.037</v>
      </c>
      <c r="K775" s="29" t="n">
        <v>0.0507</v>
      </c>
      <c r="L775" s="27" t="n">
        <v>16</v>
      </c>
      <c r="M775" s="27" t="n">
        <v>19606</v>
      </c>
      <c r="N775" s="30" t="n">
        <v>45.88</v>
      </c>
      <c r="O775" s="30" t="n">
        <v>10.1</v>
      </c>
      <c r="P775" s="29" t="n">
        <v>0.01</v>
      </c>
      <c r="Q775" s="27" t="n">
        <v>490000</v>
      </c>
      <c r="R775" s="27" t="n">
        <v>153126</v>
      </c>
      <c r="S775" s="27" t="n">
        <v>119808</v>
      </c>
      <c r="T775" s="29" t="n">
        <v>0.688</v>
      </c>
      <c r="U775" s="29" t="n">
        <v>0.257</v>
      </c>
      <c r="V775" s="29" t="n">
        <v>0.833</v>
      </c>
      <c r="W775" s="28" t="n">
        <v>12.7</v>
      </c>
    </row>
    <row r="776" customFormat="false" ht="15" hidden="false" customHeight="false" outlineLevel="0" collapsed="false">
      <c r="A776" s="25" t="s">
        <v>1008</v>
      </c>
      <c r="B776" s="25" t="s">
        <v>403</v>
      </c>
      <c r="C776" s="26" t="n">
        <v>46143</v>
      </c>
      <c r="D776" s="27" t="n">
        <v>10272</v>
      </c>
      <c r="E776" s="28" t="n">
        <v>633.3</v>
      </c>
      <c r="F776" s="29" t="n">
        <v>0.0642</v>
      </c>
      <c r="G776" s="29" t="n">
        <v>0.1674</v>
      </c>
      <c r="H776" s="30" t="n">
        <v>12.52</v>
      </c>
      <c r="I776" s="29" t="n">
        <v>0.0212</v>
      </c>
      <c r="J776" s="29" t="n">
        <v>0.0371</v>
      </c>
      <c r="K776" s="29" t="n">
        <v>0.0491</v>
      </c>
      <c r="L776" s="27" t="n">
        <v>16</v>
      </c>
      <c r="M776" s="27" t="n">
        <v>19624</v>
      </c>
      <c r="N776" s="30" t="n">
        <v>44.42</v>
      </c>
      <c r="O776" s="30" t="n">
        <v>9.85</v>
      </c>
      <c r="P776" s="29" t="n">
        <v>0.0092</v>
      </c>
      <c r="Q776" s="27" t="n">
        <v>490000</v>
      </c>
      <c r="R776" s="27" t="n">
        <v>148983</v>
      </c>
      <c r="S776" s="27" t="n">
        <v>121391</v>
      </c>
      <c r="T776" s="29" t="n">
        <v>0.716</v>
      </c>
      <c r="U776" s="29" t="n">
        <v>0.266</v>
      </c>
      <c r="V776" s="29" t="n">
        <v>0.846</v>
      </c>
      <c r="W776" s="28" t="n">
        <v>12.5</v>
      </c>
    </row>
    <row r="777" customFormat="false" ht="15" hidden="false" customHeight="false" outlineLevel="0" collapsed="false">
      <c r="A777" s="25" t="s">
        <v>1009</v>
      </c>
      <c r="B777" s="25" t="s">
        <v>403</v>
      </c>
      <c r="C777" s="26" t="n">
        <v>46174</v>
      </c>
      <c r="D777" s="27" t="n">
        <v>11576</v>
      </c>
      <c r="E777" s="28" t="n">
        <v>638.6</v>
      </c>
      <c r="F777" s="29" t="n">
        <v>0.0591</v>
      </c>
      <c r="G777" s="29" t="n">
        <v>0.1633</v>
      </c>
      <c r="H777" s="30" t="n">
        <v>12.23</v>
      </c>
      <c r="I777" s="29" t="n">
        <v>0.0221</v>
      </c>
      <c r="J777" s="29" t="n">
        <v>0.0351</v>
      </c>
      <c r="K777" s="29" t="n">
        <v>0.0487</v>
      </c>
      <c r="L777" s="27" t="n">
        <v>16</v>
      </c>
      <c r="M777" s="27" t="n">
        <v>19642</v>
      </c>
      <c r="N777" s="30" t="n">
        <v>43.88</v>
      </c>
      <c r="O777" s="30" t="n">
        <v>10.07</v>
      </c>
      <c r="P777" s="29" t="n">
        <v>0.0105</v>
      </c>
      <c r="Q777" s="27" t="n">
        <v>490000</v>
      </c>
      <c r="R777" s="27" t="n">
        <v>149348</v>
      </c>
      <c r="S777" s="27" t="n">
        <v>125140</v>
      </c>
      <c r="T777" s="29" t="n">
        <v>0.698</v>
      </c>
      <c r="U777" s="29" t="n">
        <v>0.265</v>
      </c>
      <c r="V777" s="29" t="n">
        <v>0.85</v>
      </c>
      <c r="W777" s="28" t="n">
        <v>12.3</v>
      </c>
    </row>
    <row r="778" customFormat="false" ht="15" hidden="false" customHeight="false" outlineLevel="0" collapsed="false">
      <c r="A778" s="25" t="s">
        <v>1010</v>
      </c>
      <c r="B778" s="25" t="s">
        <v>403</v>
      </c>
      <c r="C778" s="26" t="n">
        <v>46204</v>
      </c>
      <c r="D778" s="27" t="n">
        <v>11566</v>
      </c>
      <c r="E778" s="28" t="n">
        <v>626.4</v>
      </c>
      <c r="F778" s="29" t="n">
        <v>0.0581</v>
      </c>
      <c r="G778" s="29" t="n">
        <v>0.1614</v>
      </c>
      <c r="H778" s="30" t="n">
        <v>12.45</v>
      </c>
      <c r="I778" s="29" t="n">
        <v>0.0212</v>
      </c>
      <c r="J778" s="29" t="n">
        <v>0.036</v>
      </c>
      <c r="K778" s="29" t="n">
        <v>0.0451</v>
      </c>
      <c r="L778" s="27" t="n">
        <v>17</v>
      </c>
      <c r="M778" s="27" t="n">
        <v>19660</v>
      </c>
      <c r="N778" s="30" t="n">
        <v>44.04</v>
      </c>
      <c r="O778" s="30" t="n">
        <v>10.3</v>
      </c>
      <c r="P778" s="29" t="n">
        <v>0.0099</v>
      </c>
      <c r="Q778" s="27" t="n">
        <v>490000</v>
      </c>
      <c r="R778" s="27" t="n">
        <v>146109</v>
      </c>
      <c r="S778" s="27" t="n">
        <v>110368</v>
      </c>
      <c r="T778" s="29" t="n">
        <v>0.704</v>
      </c>
      <c r="U778" s="29" t="n">
        <v>0.284</v>
      </c>
      <c r="V778" s="29" t="n">
        <v>0.876</v>
      </c>
      <c r="W778" s="28" t="n">
        <v>11.8</v>
      </c>
    </row>
    <row r="779" customFormat="false" ht="15" hidden="false" customHeight="false" outlineLevel="0" collapsed="false">
      <c r="A779" s="25" t="s">
        <v>1011</v>
      </c>
      <c r="B779" s="25" t="s">
        <v>403</v>
      </c>
      <c r="C779" s="26" t="n">
        <v>46235</v>
      </c>
      <c r="D779" s="27" t="n">
        <v>13214</v>
      </c>
      <c r="E779" s="28" t="n">
        <v>623.7</v>
      </c>
      <c r="F779" s="29" t="n">
        <v>0.0607</v>
      </c>
      <c r="G779" s="29" t="n">
        <v>0.1664</v>
      </c>
      <c r="H779" s="30" t="n">
        <v>12.37</v>
      </c>
      <c r="I779" s="29" t="n">
        <v>0.0216</v>
      </c>
      <c r="J779" s="29" t="n">
        <v>0.0354</v>
      </c>
      <c r="K779" s="29" t="n">
        <v>0.0398</v>
      </c>
      <c r="L779" s="27" t="n">
        <v>17</v>
      </c>
      <c r="M779" s="27" t="n">
        <v>19677</v>
      </c>
      <c r="N779" s="30" t="n">
        <v>43.3</v>
      </c>
      <c r="O779" s="30" t="n">
        <v>9.69</v>
      </c>
      <c r="P779" s="29" t="n">
        <v>0.0098</v>
      </c>
      <c r="Q779" s="27" t="n">
        <v>490000</v>
      </c>
      <c r="R779" s="27" t="n">
        <v>149454</v>
      </c>
      <c r="S779" s="27" t="n">
        <v>127975</v>
      </c>
      <c r="T779" s="29" t="n">
        <v>0.728</v>
      </c>
      <c r="U779" s="29" t="n">
        <v>0.267</v>
      </c>
      <c r="V779" s="29" t="n">
        <v>0.879</v>
      </c>
      <c r="W779" s="28" t="n">
        <v>11.8</v>
      </c>
    </row>
    <row r="780" customFormat="false" ht="15" hidden="false" customHeight="false" outlineLevel="0" collapsed="false">
      <c r="A780" s="25" t="s">
        <v>1012</v>
      </c>
      <c r="B780" s="25" t="s">
        <v>403</v>
      </c>
      <c r="C780" s="26" t="n">
        <v>46266</v>
      </c>
      <c r="D780" s="27" t="n">
        <v>13635</v>
      </c>
      <c r="E780" s="28" t="n">
        <v>638</v>
      </c>
      <c r="F780" s="29" t="n">
        <v>0.0581</v>
      </c>
      <c r="G780" s="29" t="n">
        <v>0.1633</v>
      </c>
      <c r="H780" s="30" t="n">
        <v>12.32</v>
      </c>
      <c r="I780" s="29" t="n">
        <v>0.021</v>
      </c>
      <c r="J780" s="29" t="n">
        <v>0.0342</v>
      </c>
      <c r="K780" s="29" t="n">
        <v>0.0474</v>
      </c>
      <c r="L780" s="27" t="n">
        <v>16</v>
      </c>
      <c r="M780" s="27" t="n">
        <v>19695</v>
      </c>
      <c r="N780" s="30" t="n">
        <v>43.86</v>
      </c>
      <c r="O780" s="30" t="n">
        <v>9.37</v>
      </c>
      <c r="P780" s="29" t="n">
        <v>0.0097</v>
      </c>
      <c r="Q780" s="27" t="n">
        <v>490000</v>
      </c>
      <c r="R780" s="27" t="n">
        <v>143899</v>
      </c>
      <c r="S780" s="27" t="n">
        <v>122805</v>
      </c>
      <c r="T780" s="29" t="n">
        <v>0.738</v>
      </c>
      <c r="U780" s="29" t="n">
        <v>0.268</v>
      </c>
      <c r="V780" s="29" t="n">
        <v>0.851</v>
      </c>
      <c r="W780" s="28" t="n">
        <v>12.1</v>
      </c>
    </row>
    <row r="781" customFormat="false" ht="15" hidden="false" customHeight="false" outlineLevel="0" collapsed="false">
      <c r="A781" s="25" t="s">
        <v>1013</v>
      </c>
      <c r="B781" s="25" t="s">
        <v>402</v>
      </c>
      <c r="C781" s="26" t="n">
        <v>45931</v>
      </c>
      <c r="D781" s="27" t="n">
        <v>18570</v>
      </c>
      <c r="E781" s="28" t="n">
        <v>543.8</v>
      </c>
      <c r="F781" s="29" t="n">
        <v>0.0556</v>
      </c>
      <c r="G781" s="29" t="n">
        <v>0.1641</v>
      </c>
      <c r="H781" s="30" t="n">
        <v>14.44</v>
      </c>
      <c r="I781" s="29" t="n">
        <v>0.0259</v>
      </c>
      <c r="J781" s="29" t="n">
        <v>0.0249</v>
      </c>
      <c r="K781" s="29" t="n">
        <v>0.0263</v>
      </c>
      <c r="L781" s="27" t="n">
        <v>19</v>
      </c>
      <c r="M781" s="27" t="n">
        <v>19500</v>
      </c>
      <c r="N781" s="30" t="n">
        <v>42.26</v>
      </c>
      <c r="O781" s="30" t="n">
        <v>9.85</v>
      </c>
      <c r="P781" s="29" t="n">
        <v>0.0099</v>
      </c>
      <c r="Q781" s="27" t="n">
        <v>174000</v>
      </c>
      <c r="R781" s="27" t="n">
        <v>146067</v>
      </c>
      <c r="S781" s="27" t="n">
        <v>105697</v>
      </c>
      <c r="T781" s="29" t="n">
        <v>0.79</v>
      </c>
      <c r="U781" s="29" t="n">
        <v>0.481</v>
      </c>
      <c r="V781" s="29" t="n">
        <v>0.912</v>
      </c>
      <c r="W781" s="28" t="n">
        <v>11.5</v>
      </c>
    </row>
    <row r="782" customFormat="false" ht="15" hidden="false" customHeight="false" outlineLevel="0" collapsed="false">
      <c r="A782" s="25" t="s">
        <v>1014</v>
      </c>
      <c r="B782" s="25" t="s">
        <v>402</v>
      </c>
      <c r="C782" s="26" t="n">
        <v>45962</v>
      </c>
      <c r="D782" s="27" t="n">
        <v>17771</v>
      </c>
      <c r="E782" s="28" t="n">
        <v>552.6</v>
      </c>
      <c r="F782" s="29" t="n">
        <v>0.051</v>
      </c>
      <c r="G782" s="29" t="n">
        <v>0.1693</v>
      </c>
      <c r="H782" s="30" t="n">
        <v>14.76</v>
      </c>
      <c r="I782" s="29" t="n">
        <v>0.0244</v>
      </c>
      <c r="J782" s="29" t="n">
        <v>0.0244</v>
      </c>
      <c r="K782" s="29" t="n">
        <v>0.0259</v>
      </c>
      <c r="L782" s="27" t="n">
        <v>18</v>
      </c>
      <c r="M782" s="27" t="n">
        <v>19518</v>
      </c>
      <c r="N782" s="30" t="n">
        <v>42.02</v>
      </c>
      <c r="O782" s="30" t="n">
        <v>9.56</v>
      </c>
      <c r="P782" s="29" t="n">
        <v>0.0095</v>
      </c>
      <c r="Q782" s="27" t="n">
        <v>174000</v>
      </c>
      <c r="R782" s="27" t="n">
        <v>133995</v>
      </c>
      <c r="S782" s="27" t="n">
        <v>101921</v>
      </c>
      <c r="T782" s="29" t="n">
        <v>0.808</v>
      </c>
      <c r="U782" s="29" t="n">
        <v>0.49</v>
      </c>
      <c r="V782" s="29" t="n">
        <v>0.874</v>
      </c>
      <c r="W782" s="28" t="n">
        <v>11.9</v>
      </c>
    </row>
    <row r="783" customFormat="false" ht="15" hidden="false" customHeight="false" outlineLevel="0" collapsed="false">
      <c r="A783" s="25" t="s">
        <v>1015</v>
      </c>
      <c r="B783" s="25" t="s">
        <v>402</v>
      </c>
      <c r="C783" s="26" t="n">
        <v>45992</v>
      </c>
      <c r="D783" s="27" t="n">
        <v>18038</v>
      </c>
      <c r="E783" s="28" t="n">
        <v>562.4</v>
      </c>
      <c r="F783" s="29" t="n">
        <v>0.0522</v>
      </c>
      <c r="G783" s="29" t="n">
        <v>0.1698</v>
      </c>
      <c r="H783" s="30" t="n">
        <v>15.27</v>
      </c>
      <c r="I783" s="29" t="n">
        <v>0.0224</v>
      </c>
      <c r="J783" s="29" t="n">
        <v>0.0231</v>
      </c>
      <c r="K783" s="29" t="n">
        <v>0.0287</v>
      </c>
      <c r="L783" s="27" t="n">
        <v>17</v>
      </c>
      <c r="M783" s="27" t="n">
        <v>19535</v>
      </c>
      <c r="N783" s="30" t="n">
        <v>42.8</v>
      </c>
      <c r="O783" s="30" t="n">
        <v>9.8</v>
      </c>
      <c r="P783" s="29" t="n">
        <v>0.0102</v>
      </c>
      <c r="Q783" s="27" t="n">
        <v>174000</v>
      </c>
      <c r="R783" s="27" t="n">
        <v>145659</v>
      </c>
      <c r="S783" s="27" t="n">
        <v>103220</v>
      </c>
      <c r="T783" s="29" t="n">
        <v>0.804</v>
      </c>
      <c r="U783" s="29" t="n">
        <v>0.479</v>
      </c>
      <c r="V783" s="29" t="n">
        <v>0.874</v>
      </c>
      <c r="W783" s="28" t="n">
        <v>11.8</v>
      </c>
    </row>
    <row r="784" customFormat="false" ht="15" hidden="false" customHeight="false" outlineLevel="0" collapsed="false">
      <c r="A784" s="25" t="s">
        <v>1016</v>
      </c>
      <c r="B784" s="25" t="s">
        <v>402</v>
      </c>
      <c r="C784" s="26" t="n">
        <v>46023</v>
      </c>
      <c r="D784" s="27" t="n">
        <v>17640</v>
      </c>
      <c r="E784" s="28" t="n">
        <v>551.3</v>
      </c>
      <c r="F784" s="29" t="n">
        <v>0.0519</v>
      </c>
      <c r="G784" s="29" t="n">
        <v>0.169</v>
      </c>
      <c r="H784" s="30" t="n">
        <v>14.42</v>
      </c>
      <c r="I784" s="29" t="n">
        <v>0.0241</v>
      </c>
      <c r="J784" s="29" t="n">
        <v>0.0233</v>
      </c>
      <c r="K784" s="29" t="n">
        <v>0.0168</v>
      </c>
      <c r="L784" s="27" t="n">
        <v>18</v>
      </c>
      <c r="M784" s="27" t="n">
        <v>19553</v>
      </c>
      <c r="N784" s="30" t="n">
        <v>42.82</v>
      </c>
      <c r="O784" s="30" t="n">
        <v>10.15</v>
      </c>
      <c r="P784" s="29" t="n">
        <v>0.0098</v>
      </c>
      <c r="Q784" s="27" t="n">
        <v>174000</v>
      </c>
      <c r="R784" s="27" t="n">
        <v>138625</v>
      </c>
      <c r="S784" s="27" t="n">
        <v>89250</v>
      </c>
      <c r="T784" s="29" t="n">
        <v>0.804</v>
      </c>
      <c r="U784" s="29" t="n">
        <v>0.485</v>
      </c>
      <c r="V784" s="29" t="n">
        <v>0.904</v>
      </c>
      <c r="W784" s="28" t="n">
        <v>11.8</v>
      </c>
    </row>
    <row r="785" customFormat="false" ht="15" hidden="false" customHeight="false" outlineLevel="0" collapsed="false">
      <c r="A785" s="25" t="s">
        <v>1017</v>
      </c>
      <c r="B785" s="25" t="s">
        <v>402</v>
      </c>
      <c r="C785" s="26" t="n">
        <v>46054</v>
      </c>
      <c r="D785" s="27" t="n">
        <v>16430</v>
      </c>
      <c r="E785" s="28" t="n">
        <v>539.6</v>
      </c>
      <c r="F785" s="29" t="n">
        <v>0.0525</v>
      </c>
      <c r="G785" s="29" t="n">
        <v>0.1679</v>
      </c>
      <c r="H785" s="30" t="n">
        <v>14.22</v>
      </c>
      <c r="I785" s="29" t="n">
        <v>0.0232</v>
      </c>
      <c r="J785" s="29" t="n">
        <v>0.0247</v>
      </c>
      <c r="K785" s="29" t="n">
        <v>0.0247</v>
      </c>
      <c r="L785" s="27" t="n">
        <v>18</v>
      </c>
      <c r="M785" s="27" t="n">
        <v>19571</v>
      </c>
      <c r="N785" s="30" t="n">
        <v>42.58</v>
      </c>
      <c r="O785" s="30" t="n">
        <v>9.94</v>
      </c>
      <c r="P785" s="29" t="n">
        <v>0.0101</v>
      </c>
      <c r="Q785" s="27" t="n">
        <v>174000</v>
      </c>
      <c r="R785" s="27" t="n">
        <v>133252</v>
      </c>
      <c r="S785" s="27" t="n">
        <v>79304</v>
      </c>
      <c r="T785" s="29" t="n">
        <v>0.814</v>
      </c>
      <c r="U785" s="29" t="n">
        <v>0.493</v>
      </c>
      <c r="V785" s="29" t="n">
        <v>0.876</v>
      </c>
      <c r="W785" s="28" t="n">
        <v>12.1</v>
      </c>
    </row>
    <row r="786" customFormat="false" ht="15" hidden="false" customHeight="false" outlineLevel="0" collapsed="false">
      <c r="A786" s="25" t="s">
        <v>1018</v>
      </c>
      <c r="B786" s="25" t="s">
        <v>402</v>
      </c>
      <c r="C786" s="26" t="n">
        <v>46082</v>
      </c>
      <c r="D786" s="27" t="n">
        <v>18552</v>
      </c>
      <c r="E786" s="28" t="n">
        <v>556.9</v>
      </c>
      <c r="F786" s="29" t="n">
        <v>0.0556</v>
      </c>
      <c r="G786" s="29" t="n">
        <v>0.169</v>
      </c>
      <c r="H786" s="30" t="n">
        <v>14.6</v>
      </c>
      <c r="I786" s="29" t="n">
        <v>0.0241</v>
      </c>
      <c r="J786" s="29" t="n">
        <v>0.0232</v>
      </c>
      <c r="K786" s="29" t="n">
        <v>0.0194</v>
      </c>
      <c r="L786" s="27" t="n">
        <v>18</v>
      </c>
      <c r="M786" s="27" t="n">
        <v>19589</v>
      </c>
      <c r="N786" s="30" t="n">
        <v>41.94</v>
      </c>
      <c r="O786" s="30" t="n">
        <v>9.83</v>
      </c>
      <c r="P786" s="29" t="n">
        <v>0.0102</v>
      </c>
      <c r="Q786" s="27" t="n">
        <v>174000</v>
      </c>
      <c r="R786" s="27" t="n">
        <v>137516</v>
      </c>
      <c r="S786" s="27" t="n">
        <v>87178</v>
      </c>
      <c r="T786" s="29" t="n">
        <v>0.804</v>
      </c>
      <c r="U786" s="29" t="n">
        <v>0.473</v>
      </c>
      <c r="V786" s="29" t="n">
        <v>0.907</v>
      </c>
      <c r="W786" s="28" t="n">
        <v>11.2</v>
      </c>
    </row>
    <row r="787" customFormat="false" ht="15" hidden="false" customHeight="false" outlineLevel="0" collapsed="false">
      <c r="A787" s="25" t="s">
        <v>1019</v>
      </c>
      <c r="B787" s="25" t="s">
        <v>402</v>
      </c>
      <c r="C787" s="26" t="n">
        <v>46113</v>
      </c>
      <c r="D787" s="27" t="n">
        <v>19244</v>
      </c>
      <c r="E787" s="28" t="n">
        <v>550.5</v>
      </c>
      <c r="F787" s="29" t="n">
        <v>0.052</v>
      </c>
      <c r="G787" s="29" t="n">
        <v>0.1654</v>
      </c>
      <c r="H787" s="30" t="n">
        <v>14.82</v>
      </c>
      <c r="I787" s="29" t="n">
        <v>0.0217</v>
      </c>
      <c r="J787" s="29" t="n">
        <v>0.0218</v>
      </c>
      <c r="K787" s="29" t="n">
        <v>0.0315</v>
      </c>
      <c r="L787" s="27" t="n">
        <v>21</v>
      </c>
      <c r="M787" s="27" t="n">
        <v>19606</v>
      </c>
      <c r="N787" s="30" t="n">
        <v>41.29</v>
      </c>
      <c r="O787" s="30" t="n">
        <v>10.02</v>
      </c>
      <c r="P787" s="29" t="n">
        <v>0.0099</v>
      </c>
      <c r="Q787" s="27" t="n">
        <v>174000</v>
      </c>
      <c r="R787" s="27" t="n">
        <v>127349</v>
      </c>
      <c r="S787" s="27" t="n">
        <v>84034</v>
      </c>
      <c r="T787" s="29" t="n">
        <v>0.801</v>
      </c>
      <c r="U787" s="29" t="n">
        <v>0.467</v>
      </c>
      <c r="V787" s="29" t="n">
        <v>0.866</v>
      </c>
      <c r="W787" s="28" t="n">
        <v>11.6</v>
      </c>
    </row>
    <row r="788" customFormat="false" ht="15" hidden="false" customHeight="false" outlineLevel="0" collapsed="false">
      <c r="A788" s="25" t="s">
        <v>1020</v>
      </c>
      <c r="B788" s="25" t="s">
        <v>402</v>
      </c>
      <c r="C788" s="26" t="n">
        <v>46143</v>
      </c>
      <c r="D788" s="27" t="n">
        <v>21681</v>
      </c>
      <c r="E788" s="28" t="n">
        <v>554.2</v>
      </c>
      <c r="F788" s="29" t="n">
        <v>0.058</v>
      </c>
      <c r="G788" s="29" t="n">
        <v>0.1697</v>
      </c>
      <c r="H788" s="30" t="n">
        <v>15.01</v>
      </c>
      <c r="I788" s="29" t="n">
        <v>0.0239</v>
      </c>
      <c r="J788" s="29" t="n">
        <v>0.0207</v>
      </c>
      <c r="K788" s="29" t="n">
        <v>0.0283</v>
      </c>
      <c r="L788" s="27" t="n">
        <v>21</v>
      </c>
      <c r="M788" s="27" t="n">
        <v>19624</v>
      </c>
      <c r="N788" s="30" t="n">
        <v>41.52</v>
      </c>
      <c r="O788" s="30" t="n">
        <v>10.17</v>
      </c>
      <c r="P788" s="29" t="n">
        <v>0.0102</v>
      </c>
      <c r="Q788" s="27" t="n">
        <v>174000</v>
      </c>
      <c r="R788" s="27" t="n">
        <v>146040</v>
      </c>
      <c r="S788" s="27" t="n">
        <v>106381</v>
      </c>
      <c r="T788" s="29" t="n">
        <v>0.81</v>
      </c>
      <c r="U788" s="29" t="n">
        <v>0.475</v>
      </c>
      <c r="V788" s="29" t="n">
        <v>0.888</v>
      </c>
      <c r="W788" s="28" t="n">
        <v>11.5</v>
      </c>
    </row>
    <row r="789" customFormat="false" ht="15" hidden="false" customHeight="false" outlineLevel="0" collapsed="false">
      <c r="A789" s="25" t="s">
        <v>1021</v>
      </c>
      <c r="B789" s="25" t="s">
        <v>402</v>
      </c>
      <c r="C789" s="26" t="n">
        <v>46174</v>
      </c>
      <c r="D789" s="27" t="n">
        <v>21124</v>
      </c>
      <c r="E789" s="28" t="n">
        <v>555.1</v>
      </c>
      <c r="F789" s="29" t="n">
        <v>0.0534</v>
      </c>
      <c r="G789" s="29" t="n">
        <v>0.1698</v>
      </c>
      <c r="H789" s="30" t="n">
        <v>14.84</v>
      </c>
      <c r="I789" s="29" t="n">
        <v>0.0256</v>
      </c>
      <c r="J789" s="29" t="n">
        <v>0.0224</v>
      </c>
      <c r="K789" s="29" t="n">
        <v>0.023</v>
      </c>
      <c r="L789" s="27" t="n">
        <v>22</v>
      </c>
      <c r="M789" s="27" t="n">
        <v>19642</v>
      </c>
      <c r="N789" s="30" t="n">
        <v>41.39</v>
      </c>
      <c r="O789" s="30" t="n">
        <v>10.02</v>
      </c>
      <c r="P789" s="29" t="n">
        <v>0.0106</v>
      </c>
      <c r="Q789" s="27" t="n">
        <v>174000</v>
      </c>
      <c r="R789" s="27" t="n">
        <v>125546</v>
      </c>
      <c r="S789" s="27" t="n">
        <v>95506</v>
      </c>
      <c r="T789" s="29" t="n">
        <v>0.818</v>
      </c>
      <c r="U789" s="29" t="n">
        <v>0.483</v>
      </c>
      <c r="V789" s="29" t="n">
        <v>0.889</v>
      </c>
      <c r="W789" s="28" t="n">
        <v>12.1</v>
      </c>
    </row>
    <row r="790" customFormat="false" ht="15" hidden="false" customHeight="false" outlineLevel="0" collapsed="false">
      <c r="A790" s="25" t="s">
        <v>1022</v>
      </c>
      <c r="B790" s="25" t="s">
        <v>402</v>
      </c>
      <c r="C790" s="26" t="n">
        <v>46204</v>
      </c>
      <c r="D790" s="27" t="n">
        <v>19674</v>
      </c>
      <c r="E790" s="28" t="n">
        <v>565.3</v>
      </c>
      <c r="F790" s="29" t="n">
        <v>0.0522</v>
      </c>
      <c r="G790" s="29" t="n">
        <v>0.1663</v>
      </c>
      <c r="H790" s="30" t="n">
        <v>15.44</v>
      </c>
      <c r="I790" s="29" t="n">
        <v>0.0227</v>
      </c>
      <c r="J790" s="29" t="n">
        <v>0.0222</v>
      </c>
      <c r="K790" s="29" t="n">
        <v>0.0211</v>
      </c>
      <c r="L790" s="27" t="n">
        <v>17</v>
      </c>
      <c r="M790" s="27" t="n">
        <v>19660</v>
      </c>
      <c r="N790" s="30" t="n">
        <v>41.49</v>
      </c>
      <c r="O790" s="30" t="n">
        <v>9.76</v>
      </c>
      <c r="P790" s="29" t="n">
        <v>0.0097</v>
      </c>
      <c r="Q790" s="27" t="n">
        <v>174000</v>
      </c>
      <c r="R790" s="27" t="n">
        <v>140191</v>
      </c>
      <c r="S790" s="27" t="n">
        <v>90957</v>
      </c>
      <c r="T790" s="29" t="n">
        <v>0.834</v>
      </c>
      <c r="U790" s="29" t="n">
        <v>0.476</v>
      </c>
      <c r="V790" s="29" t="n">
        <v>0.898</v>
      </c>
      <c r="W790" s="28" t="n">
        <v>11.3</v>
      </c>
    </row>
    <row r="791" customFormat="false" ht="15" hidden="false" customHeight="false" outlineLevel="0" collapsed="false">
      <c r="A791" s="25" t="s">
        <v>1023</v>
      </c>
      <c r="B791" s="25" t="s">
        <v>402</v>
      </c>
      <c r="C791" s="26" t="n">
        <v>46235</v>
      </c>
      <c r="D791" s="27" t="n">
        <v>21330</v>
      </c>
      <c r="E791" s="28" t="n">
        <v>554.4</v>
      </c>
      <c r="F791" s="29" t="n">
        <v>0.0556</v>
      </c>
      <c r="G791" s="29" t="n">
        <v>0.1686</v>
      </c>
      <c r="H791" s="30" t="n">
        <v>13.53</v>
      </c>
      <c r="I791" s="29" t="n">
        <v>0.0248</v>
      </c>
      <c r="J791" s="29" t="n">
        <v>0.0211</v>
      </c>
      <c r="K791" s="29" t="n">
        <v>0.0234</v>
      </c>
      <c r="L791" s="27" t="n">
        <v>21</v>
      </c>
      <c r="M791" s="27" t="n">
        <v>19677</v>
      </c>
      <c r="N791" s="30" t="n">
        <v>41.8</v>
      </c>
      <c r="O791" s="30" t="n">
        <v>9.87</v>
      </c>
      <c r="P791" s="29" t="n">
        <v>0.0101</v>
      </c>
      <c r="Q791" s="27" t="n">
        <v>174000</v>
      </c>
      <c r="R791" s="27" t="n">
        <v>136944</v>
      </c>
      <c r="S791" s="27" t="n">
        <v>84224</v>
      </c>
      <c r="T791" s="29" t="n">
        <v>0.827</v>
      </c>
      <c r="U791" s="29" t="n">
        <v>0.471</v>
      </c>
      <c r="V791" s="29" t="n">
        <v>0.889</v>
      </c>
      <c r="W791" s="28" t="n">
        <v>11.2</v>
      </c>
    </row>
    <row r="792" customFormat="false" ht="15" hidden="false" customHeight="false" outlineLevel="0" collapsed="false">
      <c r="A792" s="25" t="s">
        <v>1024</v>
      </c>
      <c r="B792" s="25" t="s">
        <v>402</v>
      </c>
      <c r="C792" s="26" t="n">
        <v>46266</v>
      </c>
      <c r="D792" s="27" t="n">
        <v>19150</v>
      </c>
      <c r="E792" s="28" t="n">
        <v>547</v>
      </c>
      <c r="F792" s="29" t="n">
        <v>0.0529</v>
      </c>
      <c r="G792" s="29" t="n">
        <v>0.173</v>
      </c>
      <c r="H792" s="30" t="n">
        <v>14.72</v>
      </c>
      <c r="I792" s="29" t="n">
        <v>0.0255</v>
      </c>
      <c r="J792" s="29" t="n">
        <v>0.0235</v>
      </c>
      <c r="K792" s="29" t="n">
        <v>0.0148</v>
      </c>
      <c r="L792" s="27" t="n">
        <v>19</v>
      </c>
      <c r="M792" s="27" t="n">
        <v>19695</v>
      </c>
      <c r="N792" s="30" t="n">
        <v>42.46</v>
      </c>
      <c r="O792" s="30" t="n">
        <v>9.87</v>
      </c>
      <c r="P792" s="29" t="n">
        <v>0.0102</v>
      </c>
      <c r="Q792" s="27" t="n">
        <v>174000</v>
      </c>
      <c r="R792" s="27" t="n">
        <v>142984</v>
      </c>
      <c r="S792" s="27" t="n">
        <v>75653</v>
      </c>
      <c r="T792" s="29" t="n">
        <v>0.83</v>
      </c>
      <c r="U792" s="29" t="n">
        <v>0.477</v>
      </c>
      <c r="V792" s="29" t="n">
        <v>0.914</v>
      </c>
      <c r="W792" s="28" t="n">
        <v>11</v>
      </c>
    </row>
    <row r="793" customFormat="false" ht="15" hidden="false" customHeight="false" outlineLevel="0" collapsed="false">
      <c r="A793" s="25" t="s">
        <v>1025</v>
      </c>
      <c r="B793" s="25" t="s">
        <v>405</v>
      </c>
      <c r="C793" s="26" t="n">
        <v>45931</v>
      </c>
      <c r="D793" s="27" t="n">
        <v>3825</v>
      </c>
      <c r="E793" s="28" t="n">
        <v>611.1</v>
      </c>
      <c r="F793" s="29" t="n">
        <v>0.0829</v>
      </c>
      <c r="G793" s="29" t="n">
        <v>0.1675</v>
      </c>
      <c r="H793" s="30" t="n">
        <v>13.34</v>
      </c>
      <c r="I793" s="29" t="n">
        <v>0.0192</v>
      </c>
      <c r="J793" s="29" t="n">
        <v>0.0472</v>
      </c>
      <c r="K793" s="29" t="n">
        <v>0.0669</v>
      </c>
      <c r="L793" s="27" t="n">
        <v>16</v>
      </c>
      <c r="M793" s="27" t="n">
        <v>19500</v>
      </c>
      <c r="N793" s="30" t="n">
        <v>47.52</v>
      </c>
      <c r="O793" s="30" t="n">
        <v>9.66</v>
      </c>
      <c r="P793" s="29" t="n">
        <v>0.01</v>
      </c>
      <c r="Q793" s="27" t="n">
        <v>392000</v>
      </c>
      <c r="R793" s="27" t="n">
        <v>141504</v>
      </c>
      <c r="S793" s="27" t="n">
        <v>71861</v>
      </c>
      <c r="T793" s="29" t="n">
        <v>0.585</v>
      </c>
      <c r="U793" s="29" t="n">
        <v>0.299</v>
      </c>
      <c r="V793" s="29" t="n">
        <v>0.832</v>
      </c>
      <c r="W793" s="28" t="n">
        <v>12.2</v>
      </c>
    </row>
    <row r="794" customFormat="false" ht="15" hidden="false" customHeight="false" outlineLevel="0" collapsed="false">
      <c r="A794" s="25" t="s">
        <v>1026</v>
      </c>
      <c r="B794" s="25" t="s">
        <v>405</v>
      </c>
      <c r="C794" s="26" t="n">
        <v>45962</v>
      </c>
      <c r="D794" s="27" t="n">
        <v>3736</v>
      </c>
      <c r="E794" s="28" t="n">
        <v>621</v>
      </c>
      <c r="F794" s="29" t="n">
        <v>0.081</v>
      </c>
      <c r="G794" s="29" t="n">
        <v>0.1686</v>
      </c>
      <c r="H794" s="30" t="n">
        <v>12.49</v>
      </c>
      <c r="I794" s="29" t="n">
        <v>0.0162</v>
      </c>
      <c r="J794" s="29" t="n">
        <v>0.0447</v>
      </c>
      <c r="K794" s="29" t="n">
        <v>0.0681</v>
      </c>
      <c r="L794" s="27" t="n">
        <v>16</v>
      </c>
      <c r="M794" s="27" t="n">
        <v>19518</v>
      </c>
      <c r="N794" s="30" t="n">
        <v>47.52</v>
      </c>
      <c r="O794" s="30" t="n">
        <v>9.77</v>
      </c>
      <c r="P794" s="29" t="n">
        <v>0.0102</v>
      </c>
      <c r="Q794" s="27" t="n">
        <v>392000</v>
      </c>
      <c r="R794" s="27" t="n">
        <v>155986</v>
      </c>
      <c r="S794" s="27" t="n">
        <v>72559</v>
      </c>
      <c r="T794" s="29" t="n">
        <v>0.594</v>
      </c>
      <c r="U794" s="29" t="n">
        <v>0.301</v>
      </c>
      <c r="V794" s="29" t="n">
        <v>0.821</v>
      </c>
      <c r="W794" s="28" t="n">
        <v>13.3</v>
      </c>
    </row>
    <row r="795" customFormat="false" ht="15" hidden="false" customHeight="false" outlineLevel="0" collapsed="false">
      <c r="A795" s="25" t="s">
        <v>1027</v>
      </c>
      <c r="B795" s="25" t="s">
        <v>405</v>
      </c>
      <c r="C795" s="26" t="n">
        <v>45992</v>
      </c>
      <c r="D795" s="27" t="n">
        <v>3856</v>
      </c>
      <c r="E795" s="28" t="n">
        <v>608.1</v>
      </c>
      <c r="F795" s="29" t="n">
        <v>0.0801</v>
      </c>
      <c r="G795" s="29" t="n">
        <v>0.1673</v>
      </c>
      <c r="H795" s="30" t="n">
        <v>13.57</v>
      </c>
      <c r="I795" s="29" t="n">
        <v>0.0172</v>
      </c>
      <c r="J795" s="29" t="n">
        <v>0.0451</v>
      </c>
      <c r="K795" s="29" t="n">
        <v>0.0538</v>
      </c>
      <c r="L795" s="27" t="n">
        <v>16</v>
      </c>
      <c r="M795" s="27" t="n">
        <v>19535</v>
      </c>
      <c r="N795" s="30" t="n">
        <v>47.67</v>
      </c>
      <c r="O795" s="30" t="n">
        <v>9.98</v>
      </c>
      <c r="P795" s="29" t="n">
        <v>0.0101</v>
      </c>
      <c r="Q795" s="27" t="n">
        <v>392000</v>
      </c>
      <c r="R795" s="27" t="n">
        <v>152583</v>
      </c>
      <c r="S795" s="27" t="n">
        <v>71887</v>
      </c>
      <c r="T795" s="29" t="n">
        <v>0.59</v>
      </c>
      <c r="U795" s="29" t="n">
        <v>0.312</v>
      </c>
      <c r="V795" s="29" t="n">
        <v>0.849</v>
      </c>
      <c r="W795" s="28" t="n">
        <v>12.5</v>
      </c>
    </row>
    <row r="796" customFormat="false" ht="15" hidden="false" customHeight="false" outlineLevel="0" collapsed="false">
      <c r="A796" s="25" t="s">
        <v>1028</v>
      </c>
      <c r="B796" s="25" t="s">
        <v>405</v>
      </c>
      <c r="C796" s="26" t="n">
        <v>46023</v>
      </c>
      <c r="D796" s="27" t="n">
        <v>3453</v>
      </c>
      <c r="E796" s="28" t="n">
        <v>623.7</v>
      </c>
      <c r="F796" s="29" t="n">
        <v>0.0796</v>
      </c>
      <c r="G796" s="29" t="n">
        <v>0.1713</v>
      </c>
      <c r="H796" s="30" t="n">
        <v>13.07</v>
      </c>
      <c r="I796" s="29" t="n">
        <v>0.0185</v>
      </c>
      <c r="J796" s="29" t="n">
        <v>0.047</v>
      </c>
      <c r="K796" s="29" t="n">
        <v>0.0555</v>
      </c>
      <c r="L796" s="27" t="n">
        <v>16</v>
      </c>
      <c r="M796" s="27" t="n">
        <v>19553</v>
      </c>
      <c r="N796" s="30" t="n">
        <v>47.1</v>
      </c>
      <c r="O796" s="30" t="n">
        <v>9.73</v>
      </c>
      <c r="P796" s="29" t="n">
        <v>0.01</v>
      </c>
      <c r="Q796" s="27" t="n">
        <v>392000</v>
      </c>
      <c r="R796" s="27" t="n">
        <v>160654</v>
      </c>
      <c r="S796" s="27" t="n">
        <v>66171</v>
      </c>
      <c r="T796" s="29" t="n">
        <v>0.6</v>
      </c>
      <c r="U796" s="29" t="n">
        <v>0.304</v>
      </c>
      <c r="V796" s="29" t="n">
        <v>0.837</v>
      </c>
      <c r="W796" s="28" t="n">
        <v>12.7</v>
      </c>
    </row>
    <row r="797" customFormat="false" ht="15" hidden="false" customHeight="false" outlineLevel="0" collapsed="false">
      <c r="A797" s="25" t="s">
        <v>1029</v>
      </c>
      <c r="B797" s="25" t="s">
        <v>405</v>
      </c>
      <c r="C797" s="26" t="n">
        <v>46054</v>
      </c>
      <c r="D797" s="27" t="n">
        <v>3159</v>
      </c>
      <c r="E797" s="28" t="n">
        <v>624.2</v>
      </c>
      <c r="F797" s="29" t="n">
        <v>0.0809</v>
      </c>
      <c r="G797" s="29" t="n">
        <v>0.167</v>
      </c>
      <c r="H797" s="30" t="n">
        <v>13.14</v>
      </c>
      <c r="I797" s="29" t="n">
        <v>0.0176</v>
      </c>
      <c r="J797" s="29" t="n">
        <v>0.0459</v>
      </c>
      <c r="K797" s="29" t="n">
        <v>0.0729</v>
      </c>
      <c r="L797" s="27" t="n">
        <v>16</v>
      </c>
      <c r="M797" s="27" t="n">
        <v>19571</v>
      </c>
      <c r="N797" s="30" t="n">
        <v>48.13</v>
      </c>
      <c r="O797" s="30" t="n">
        <v>9.69</v>
      </c>
      <c r="P797" s="29" t="n">
        <v>0.0107</v>
      </c>
      <c r="Q797" s="27" t="n">
        <v>392000</v>
      </c>
      <c r="R797" s="27" t="n">
        <v>149533</v>
      </c>
      <c r="S797" s="27" t="n">
        <v>62305</v>
      </c>
      <c r="T797" s="29" t="n">
        <v>0.555</v>
      </c>
      <c r="U797" s="29" t="n">
        <v>0.305</v>
      </c>
      <c r="V797" s="29" t="n">
        <v>0.819</v>
      </c>
      <c r="W797" s="28" t="n">
        <v>12.9</v>
      </c>
    </row>
    <row r="798" customFormat="false" ht="15" hidden="false" customHeight="false" outlineLevel="0" collapsed="false">
      <c r="A798" s="25" t="s">
        <v>1030</v>
      </c>
      <c r="B798" s="25" t="s">
        <v>405</v>
      </c>
      <c r="C798" s="26" t="n">
        <v>46082</v>
      </c>
      <c r="D798" s="27" t="n">
        <v>7904</v>
      </c>
      <c r="E798" s="28" t="n">
        <v>617.4</v>
      </c>
      <c r="F798" s="29" t="n">
        <v>0.0781</v>
      </c>
      <c r="G798" s="29" t="n">
        <v>0.1651</v>
      </c>
      <c r="H798" s="30" t="n">
        <v>12.92</v>
      </c>
      <c r="I798" s="29" t="n">
        <v>0.0194</v>
      </c>
      <c r="J798" s="29" t="n">
        <v>0.0445</v>
      </c>
      <c r="K798" s="29" t="n">
        <v>0.0658</v>
      </c>
      <c r="L798" s="27" t="n">
        <v>16</v>
      </c>
      <c r="M798" s="27" t="n">
        <v>19589</v>
      </c>
      <c r="N798" s="30" t="n">
        <v>46.04</v>
      </c>
      <c r="O798" s="30" t="n">
        <v>9.7</v>
      </c>
      <c r="P798" s="29" t="n">
        <v>0.0095</v>
      </c>
      <c r="Q798" s="27" t="n">
        <v>392000</v>
      </c>
      <c r="R798" s="27" t="n">
        <v>154022</v>
      </c>
      <c r="S798" s="27" t="n">
        <v>138568</v>
      </c>
      <c r="T798" s="29" t="n">
        <v>0.624</v>
      </c>
      <c r="U798" s="29" t="n">
        <v>0.315</v>
      </c>
      <c r="V798" s="29" t="n">
        <v>0.811</v>
      </c>
      <c r="W798" s="28" t="n">
        <v>13.1</v>
      </c>
    </row>
    <row r="799" customFormat="false" ht="15" hidden="false" customHeight="false" outlineLevel="0" collapsed="false">
      <c r="A799" s="25" t="s">
        <v>1031</v>
      </c>
      <c r="B799" s="25" t="s">
        <v>405</v>
      </c>
      <c r="C799" s="26" t="n">
        <v>46113</v>
      </c>
      <c r="D799" s="27" t="n">
        <v>11186</v>
      </c>
      <c r="E799" s="28" t="n">
        <v>622.7</v>
      </c>
      <c r="F799" s="29" t="n">
        <v>0.0722</v>
      </c>
      <c r="G799" s="29" t="n">
        <v>0.1646</v>
      </c>
      <c r="H799" s="30" t="n">
        <v>12.83</v>
      </c>
      <c r="I799" s="29" t="n">
        <v>0.0192</v>
      </c>
      <c r="J799" s="29" t="n">
        <v>0.0412</v>
      </c>
      <c r="K799" s="29" t="n">
        <v>0.0668</v>
      </c>
      <c r="L799" s="27" t="n">
        <v>16</v>
      </c>
      <c r="M799" s="27" t="n">
        <v>19606</v>
      </c>
      <c r="N799" s="30" t="n">
        <v>43.62</v>
      </c>
      <c r="O799" s="30" t="n">
        <v>9.7</v>
      </c>
      <c r="P799" s="29" t="n">
        <v>0.0101</v>
      </c>
      <c r="Q799" s="27" t="n">
        <v>392000</v>
      </c>
      <c r="R799" s="27" t="n">
        <v>151632</v>
      </c>
      <c r="S799" s="27" t="n">
        <v>179644</v>
      </c>
      <c r="T799" s="29" t="n">
        <v>0.618</v>
      </c>
      <c r="U799" s="29" t="n">
        <v>0.3</v>
      </c>
      <c r="V799" s="29" t="n">
        <v>0.808</v>
      </c>
      <c r="W799" s="28" t="n">
        <v>12.9</v>
      </c>
    </row>
    <row r="800" customFormat="false" ht="15" hidden="false" customHeight="false" outlineLevel="0" collapsed="false">
      <c r="A800" s="25" t="s">
        <v>1032</v>
      </c>
      <c r="B800" s="25" t="s">
        <v>405</v>
      </c>
      <c r="C800" s="26" t="n">
        <v>46143</v>
      </c>
      <c r="D800" s="27" t="n">
        <v>13434</v>
      </c>
      <c r="E800" s="28" t="n">
        <v>618.3</v>
      </c>
      <c r="F800" s="29" t="n">
        <v>0.0696</v>
      </c>
      <c r="G800" s="29" t="n">
        <v>0.1687</v>
      </c>
      <c r="H800" s="30" t="n">
        <v>12.82</v>
      </c>
      <c r="I800" s="29" t="n">
        <v>0.0195</v>
      </c>
      <c r="J800" s="29" t="n">
        <v>0.0412</v>
      </c>
      <c r="K800" s="29" t="n">
        <v>0.0628</v>
      </c>
      <c r="L800" s="27" t="n">
        <v>16</v>
      </c>
      <c r="M800" s="27" t="n">
        <v>19624</v>
      </c>
      <c r="N800" s="30" t="n">
        <v>44.74</v>
      </c>
      <c r="O800" s="30" t="n">
        <v>9.74</v>
      </c>
      <c r="P800" s="29" t="n">
        <v>0.0099</v>
      </c>
      <c r="Q800" s="27" t="n">
        <v>392000</v>
      </c>
      <c r="R800" s="27" t="n">
        <v>155236</v>
      </c>
      <c r="S800" s="27" t="n">
        <v>198999</v>
      </c>
      <c r="T800" s="29" t="n">
        <v>0.629</v>
      </c>
      <c r="U800" s="29" t="n">
        <v>0.316</v>
      </c>
      <c r="V800" s="29" t="n">
        <v>0.821</v>
      </c>
      <c r="W800" s="28" t="n">
        <v>13.1</v>
      </c>
    </row>
    <row r="801" customFormat="false" ht="15" hidden="false" customHeight="false" outlineLevel="0" collapsed="false">
      <c r="A801" s="25" t="s">
        <v>1033</v>
      </c>
      <c r="B801" s="25" t="s">
        <v>405</v>
      </c>
      <c r="C801" s="26" t="n">
        <v>46174</v>
      </c>
      <c r="D801" s="27" t="n">
        <v>15650</v>
      </c>
      <c r="E801" s="28" t="n">
        <v>620.4</v>
      </c>
      <c r="F801" s="29" t="n">
        <v>0.0673</v>
      </c>
      <c r="G801" s="29" t="n">
        <v>0.1685</v>
      </c>
      <c r="H801" s="30" t="n">
        <v>12.89</v>
      </c>
      <c r="I801" s="29" t="n">
        <v>0.0223</v>
      </c>
      <c r="J801" s="29" t="n">
        <v>0.0379</v>
      </c>
      <c r="K801" s="29" t="n">
        <v>0.0672</v>
      </c>
      <c r="L801" s="27" t="n">
        <v>16</v>
      </c>
      <c r="M801" s="27" t="n">
        <v>19642</v>
      </c>
      <c r="N801" s="30" t="n">
        <v>42.82</v>
      </c>
      <c r="O801" s="30" t="n">
        <v>9.86</v>
      </c>
      <c r="P801" s="29" t="n">
        <v>0.0108</v>
      </c>
      <c r="Q801" s="27" t="n">
        <v>392000</v>
      </c>
      <c r="R801" s="27" t="n">
        <v>157952</v>
      </c>
      <c r="S801" s="27" t="n">
        <v>207426</v>
      </c>
      <c r="T801" s="29" t="n">
        <v>0.696</v>
      </c>
      <c r="U801" s="29" t="n">
        <v>0.319</v>
      </c>
      <c r="V801" s="29" t="n">
        <v>0.832</v>
      </c>
      <c r="W801" s="28" t="n">
        <v>12.2</v>
      </c>
    </row>
    <row r="802" customFormat="false" ht="15" hidden="false" customHeight="false" outlineLevel="0" collapsed="false">
      <c r="A802" s="25" t="s">
        <v>1034</v>
      </c>
      <c r="B802" s="25" t="s">
        <v>405</v>
      </c>
      <c r="C802" s="26" t="n">
        <v>46204</v>
      </c>
      <c r="D802" s="27" t="n">
        <v>20260</v>
      </c>
      <c r="E802" s="28" t="n">
        <v>609.4</v>
      </c>
      <c r="F802" s="29" t="n">
        <v>0.065</v>
      </c>
      <c r="G802" s="29" t="n">
        <v>0.1681</v>
      </c>
      <c r="H802" s="30" t="n">
        <v>13.24</v>
      </c>
      <c r="I802" s="29" t="n">
        <v>0.0232</v>
      </c>
      <c r="J802" s="29" t="n">
        <v>0.0347</v>
      </c>
      <c r="K802" s="29" t="n">
        <v>0.0606</v>
      </c>
      <c r="L802" s="27" t="n">
        <v>16</v>
      </c>
      <c r="M802" s="27" t="n">
        <v>19660</v>
      </c>
      <c r="N802" s="30" t="n">
        <v>42.27</v>
      </c>
      <c r="O802" s="30" t="n">
        <v>9.86</v>
      </c>
      <c r="P802" s="29" t="n">
        <v>0.0105</v>
      </c>
      <c r="Q802" s="27" t="n">
        <v>392000</v>
      </c>
      <c r="R802" s="27" t="n">
        <v>151063</v>
      </c>
      <c r="S802" s="27" t="n">
        <v>243090</v>
      </c>
      <c r="T802" s="29" t="n">
        <v>0.706</v>
      </c>
      <c r="U802" s="29" t="n">
        <v>0.317</v>
      </c>
      <c r="V802" s="29" t="n">
        <v>0.844</v>
      </c>
      <c r="W802" s="28" t="n">
        <v>12.3</v>
      </c>
    </row>
    <row r="803" customFormat="false" ht="15" hidden="false" customHeight="false" outlineLevel="0" collapsed="false">
      <c r="A803" s="25" t="s">
        <v>1035</v>
      </c>
      <c r="B803" s="25" t="s">
        <v>405</v>
      </c>
      <c r="C803" s="26" t="n">
        <v>46235</v>
      </c>
      <c r="D803" s="27" t="n">
        <v>19571</v>
      </c>
      <c r="E803" s="28" t="n">
        <v>607.1</v>
      </c>
      <c r="F803" s="29" t="n">
        <v>0.0623</v>
      </c>
      <c r="G803" s="29" t="n">
        <v>0.1679</v>
      </c>
      <c r="H803" s="30" t="n">
        <v>13.29</v>
      </c>
      <c r="I803" s="29" t="n">
        <v>0.0246</v>
      </c>
      <c r="J803" s="29" t="n">
        <v>0.0361</v>
      </c>
      <c r="K803" s="29" t="n">
        <v>0.0693</v>
      </c>
      <c r="L803" s="27" t="n">
        <v>16</v>
      </c>
      <c r="M803" s="27" t="n">
        <v>19677</v>
      </c>
      <c r="N803" s="30" t="n">
        <v>40.87</v>
      </c>
      <c r="O803" s="30" t="n">
        <v>9.65</v>
      </c>
      <c r="P803" s="29" t="n">
        <v>0.01</v>
      </c>
      <c r="Q803" s="27" t="n">
        <v>392000</v>
      </c>
      <c r="R803" s="27" t="n">
        <v>155522</v>
      </c>
      <c r="S803" s="27" t="n">
        <v>228200</v>
      </c>
      <c r="T803" s="29" t="n">
        <v>0.711</v>
      </c>
      <c r="U803" s="29" t="n">
        <v>0.292</v>
      </c>
      <c r="V803" s="29" t="n">
        <v>0.817</v>
      </c>
      <c r="W803" s="28" t="n">
        <v>12.9</v>
      </c>
    </row>
    <row r="804" customFormat="false" ht="15" hidden="false" customHeight="false" outlineLevel="0" collapsed="false">
      <c r="A804" s="25" t="s">
        <v>1036</v>
      </c>
      <c r="B804" s="25" t="s">
        <v>405</v>
      </c>
      <c r="C804" s="26" t="n">
        <v>46266</v>
      </c>
      <c r="D804" s="27" t="n">
        <v>23234</v>
      </c>
      <c r="E804" s="28" t="n">
        <v>619.2</v>
      </c>
      <c r="F804" s="29" t="n">
        <v>0.0614</v>
      </c>
      <c r="G804" s="29" t="n">
        <v>0.1658</v>
      </c>
      <c r="H804" s="30" t="n">
        <v>12.12</v>
      </c>
      <c r="I804" s="29" t="n">
        <v>0.0255</v>
      </c>
      <c r="J804" s="29" t="n">
        <v>0.0339</v>
      </c>
      <c r="K804" s="29" t="n">
        <v>0.0685</v>
      </c>
      <c r="L804" s="27" t="n">
        <v>17</v>
      </c>
      <c r="M804" s="27" t="n">
        <v>19695</v>
      </c>
      <c r="N804" s="30" t="n">
        <v>39.36</v>
      </c>
      <c r="O804" s="30" t="n">
        <v>9.86</v>
      </c>
      <c r="P804" s="29" t="n">
        <v>0.0097</v>
      </c>
      <c r="Q804" s="27" t="n">
        <v>392000</v>
      </c>
      <c r="R804" s="27" t="n">
        <v>157573</v>
      </c>
      <c r="S804" s="27" t="n">
        <v>244510</v>
      </c>
      <c r="T804" s="29" t="n">
        <v>0.716</v>
      </c>
      <c r="U804" s="29" t="n">
        <v>0.313</v>
      </c>
      <c r="V804" s="29" t="n">
        <v>0.855</v>
      </c>
      <c r="W804" s="28" t="n">
        <v>11.8</v>
      </c>
    </row>
    <row r="805" customFormat="false" ht="15" hidden="false" customHeight="false" outlineLevel="0" collapsed="false">
      <c r="A805" s="25" t="s">
        <v>1037</v>
      </c>
      <c r="B805" s="25" t="s">
        <v>407</v>
      </c>
      <c r="C805" s="26" t="n">
        <v>45931</v>
      </c>
      <c r="D805" s="27" t="n">
        <v>22936</v>
      </c>
      <c r="E805" s="28" t="n">
        <v>549.8</v>
      </c>
      <c r="F805" s="29" t="n">
        <v>0.0627</v>
      </c>
      <c r="G805" s="29" t="n">
        <v>0.1674</v>
      </c>
      <c r="H805" s="30" t="n">
        <v>12.99</v>
      </c>
      <c r="I805" s="29" t="n">
        <v>0.0261</v>
      </c>
      <c r="J805" s="29" t="n">
        <v>0.0212</v>
      </c>
      <c r="K805" s="29" t="n">
        <v>0.0299</v>
      </c>
      <c r="L805" s="27" t="n">
        <v>23</v>
      </c>
      <c r="M805" s="27" t="n">
        <v>19500</v>
      </c>
      <c r="N805" s="30" t="n">
        <v>37.39</v>
      </c>
      <c r="O805" s="30" t="n">
        <v>9.96</v>
      </c>
      <c r="P805" s="29" t="n">
        <v>0.01</v>
      </c>
      <c r="Q805" s="27" t="n">
        <v>444000</v>
      </c>
      <c r="R805" s="27" t="n">
        <v>162431</v>
      </c>
      <c r="S805" s="27" t="n">
        <v>233630</v>
      </c>
      <c r="T805" s="29" t="n">
        <v>0.694</v>
      </c>
      <c r="U805" s="29" t="n">
        <v>0.308</v>
      </c>
      <c r="V805" s="29" t="n">
        <v>0.884</v>
      </c>
      <c r="W805" s="28" t="n">
        <v>12</v>
      </c>
    </row>
    <row r="806" customFormat="false" ht="15" hidden="false" customHeight="false" outlineLevel="0" collapsed="false">
      <c r="A806" s="25" t="s">
        <v>1038</v>
      </c>
      <c r="B806" s="25" t="s">
        <v>407</v>
      </c>
      <c r="C806" s="26" t="n">
        <v>45962</v>
      </c>
      <c r="D806" s="27" t="n">
        <v>24121</v>
      </c>
      <c r="E806" s="28" t="n">
        <v>567</v>
      </c>
      <c r="F806" s="29" t="n">
        <v>0.0636</v>
      </c>
      <c r="G806" s="29" t="n">
        <v>0.1678</v>
      </c>
      <c r="H806" s="30" t="n">
        <v>12.7</v>
      </c>
      <c r="I806" s="29" t="n">
        <v>0.0244</v>
      </c>
      <c r="J806" s="29" t="n">
        <v>0.02</v>
      </c>
      <c r="K806" s="29" t="n">
        <v>0.0261</v>
      </c>
      <c r="L806" s="27" t="n">
        <v>26</v>
      </c>
      <c r="M806" s="27" t="n">
        <v>19518</v>
      </c>
      <c r="N806" s="30" t="n">
        <v>36.31</v>
      </c>
      <c r="O806" s="30" t="n">
        <v>9.61</v>
      </c>
      <c r="P806" s="29" t="n">
        <v>0.01</v>
      </c>
      <c r="Q806" s="27" t="n">
        <v>444000</v>
      </c>
      <c r="R806" s="27" t="n">
        <v>160918</v>
      </c>
      <c r="S806" s="27" t="n">
        <v>234641</v>
      </c>
      <c r="T806" s="29" t="n">
        <v>0.708</v>
      </c>
      <c r="U806" s="29" t="n">
        <v>0.286</v>
      </c>
      <c r="V806" s="29" t="n">
        <v>0.897</v>
      </c>
      <c r="W806" s="28" t="n">
        <v>11.9</v>
      </c>
    </row>
    <row r="807" customFormat="false" ht="15" hidden="false" customHeight="false" outlineLevel="0" collapsed="false">
      <c r="A807" s="25" t="s">
        <v>1039</v>
      </c>
      <c r="B807" s="25" t="s">
        <v>407</v>
      </c>
      <c r="C807" s="26" t="n">
        <v>45992</v>
      </c>
      <c r="D807" s="27" t="n">
        <v>27473</v>
      </c>
      <c r="E807" s="28" t="n">
        <v>570.8</v>
      </c>
      <c r="F807" s="29" t="n">
        <v>0.062</v>
      </c>
      <c r="G807" s="29" t="n">
        <v>0.169</v>
      </c>
      <c r="H807" s="30" t="n">
        <v>13.44</v>
      </c>
      <c r="I807" s="29" t="n">
        <v>0.0288</v>
      </c>
      <c r="J807" s="29" t="n">
        <v>0.0189</v>
      </c>
      <c r="K807" s="29" t="n">
        <v>0.0256</v>
      </c>
      <c r="L807" s="27" t="n">
        <v>27</v>
      </c>
      <c r="M807" s="27" t="n">
        <v>19535</v>
      </c>
      <c r="N807" s="30" t="n">
        <v>36.29</v>
      </c>
      <c r="O807" s="30" t="n">
        <v>9.76</v>
      </c>
      <c r="P807" s="29" t="n">
        <v>0.0097</v>
      </c>
      <c r="Q807" s="27" t="n">
        <v>444000</v>
      </c>
      <c r="R807" s="27" t="n">
        <v>159529</v>
      </c>
      <c r="S807" s="27" t="n">
        <v>239247</v>
      </c>
      <c r="T807" s="29" t="n">
        <v>0.723</v>
      </c>
      <c r="U807" s="29" t="n">
        <v>0.324</v>
      </c>
      <c r="V807" s="29" t="n">
        <v>0.879</v>
      </c>
      <c r="W807" s="28" t="n">
        <v>11.6</v>
      </c>
    </row>
    <row r="808" customFormat="false" ht="15" hidden="false" customHeight="false" outlineLevel="0" collapsed="false">
      <c r="A808" s="25" t="s">
        <v>1040</v>
      </c>
      <c r="B808" s="25" t="s">
        <v>407</v>
      </c>
      <c r="C808" s="26" t="n">
        <v>46023</v>
      </c>
      <c r="D808" s="27" t="n">
        <v>27536</v>
      </c>
      <c r="E808" s="28" t="n">
        <v>571.1</v>
      </c>
      <c r="F808" s="29" t="n">
        <v>0.0615</v>
      </c>
      <c r="G808" s="29" t="n">
        <v>0.1697</v>
      </c>
      <c r="H808" s="30" t="n">
        <v>12.85</v>
      </c>
      <c r="I808" s="29" t="n">
        <v>0.028</v>
      </c>
      <c r="J808" s="29" t="n">
        <v>0.0178</v>
      </c>
      <c r="K808" s="29" t="n">
        <v>0.0262</v>
      </c>
      <c r="L808" s="27" t="n">
        <v>26</v>
      </c>
      <c r="M808" s="27" t="n">
        <v>19553</v>
      </c>
      <c r="N808" s="30" t="n">
        <v>36.41</v>
      </c>
      <c r="O808" s="30" t="n">
        <v>9.58</v>
      </c>
      <c r="P808" s="29" t="n">
        <v>0.0103</v>
      </c>
      <c r="Q808" s="27" t="n">
        <v>444000</v>
      </c>
      <c r="R808" s="27" t="n">
        <v>159304</v>
      </c>
      <c r="S808" s="27" t="n">
        <v>240346</v>
      </c>
      <c r="T808" s="29" t="n">
        <v>0.727</v>
      </c>
      <c r="U808" s="29" t="n">
        <v>0.297</v>
      </c>
      <c r="V808" s="29" t="n">
        <v>0.898</v>
      </c>
      <c r="W808" s="28" t="n">
        <v>11.3</v>
      </c>
    </row>
    <row r="809" customFormat="false" ht="15" hidden="false" customHeight="false" outlineLevel="0" collapsed="false">
      <c r="A809" s="25" t="s">
        <v>1041</v>
      </c>
      <c r="B809" s="25" t="s">
        <v>407</v>
      </c>
      <c r="C809" s="26" t="n">
        <v>46054</v>
      </c>
      <c r="D809" s="27" t="n">
        <v>25464</v>
      </c>
      <c r="E809" s="28" t="n">
        <v>565.1</v>
      </c>
      <c r="F809" s="29" t="n">
        <v>0.0609</v>
      </c>
      <c r="G809" s="29" t="n">
        <v>0.1697</v>
      </c>
      <c r="H809" s="30" t="n">
        <v>12.84</v>
      </c>
      <c r="I809" s="29" t="n">
        <v>0.0265</v>
      </c>
      <c r="J809" s="29" t="n">
        <v>0.018</v>
      </c>
      <c r="K809" s="29" t="n">
        <v>0.0281</v>
      </c>
      <c r="L809" s="27" t="n">
        <v>27</v>
      </c>
      <c r="M809" s="27" t="n">
        <v>19571</v>
      </c>
      <c r="N809" s="30" t="n">
        <v>36.15</v>
      </c>
      <c r="O809" s="30" t="n">
        <v>9.79</v>
      </c>
      <c r="P809" s="29" t="n">
        <v>0.0101</v>
      </c>
      <c r="Q809" s="27" t="n">
        <v>444000</v>
      </c>
      <c r="R809" s="27" t="n">
        <v>163308</v>
      </c>
      <c r="S809" s="27" t="n">
        <v>196825</v>
      </c>
      <c r="T809" s="29" t="n">
        <v>0.757</v>
      </c>
      <c r="U809" s="29" t="n">
        <v>0.305</v>
      </c>
      <c r="V809" s="29" t="n">
        <v>0.874</v>
      </c>
      <c r="W809" s="28" t="n">
        <v>11.8</v>
      </c>
    </row>
    <row r="810" customFormat="false" ht="15" hidden="false" customHeight="false" outlineLevel="0" collapsed="false">
      <c r="A810" s="25" t="s">
        <v>1042</v>
      </c>
      <c r="B810" s="25" t="s">
        <v>407</v>
      </c>
      <c r="C810" s="26" t="n">
        <v>46082</v>
      </c>
      <c r="D810" s="27" t="n">
        <v>29830</v>
      </c>
      <c r="E810" s="28" t="n">
        <v>566.1</v>
      </c>
      <c r="F810" s="29" t="n">
        <v>0.0607</v>
      </c>
      <c r="G810" s="29" t="n">
        <v>0.1707</v>
      </c>
      <c r="H810" s="30" t="n">
        <v>13</v>
      </c>
      <c r="I810" s="29" t="n">
        <v>0.0284</v>
      </c>
      <c r="J810" s="29" t="n">
        <v>0.0175</v>
      </c>
      <c r="K810" s="29" t="n">
        <v>0.0303</v>
      </c>
      <c r="L810" s="27" t="n">
        <v>29</v>
      </c>
      <c r="M810" s="27" t="n">
        <v>19589</v>
      </c>
      <c r="N810" s="30" t="n">
        <v>35.63</v>
      </c>
      <c r="O810" s="30" t="n">
        <v>9.78</v>
      </c>
      <c r="P810" s="29" t="n">
        <v>0.0102</v>
      </c>
      <c r="Q810" s="27" t="n">
        <v>444000</v>
      </c>
      <c r="R810" s="27" t="n">
        <v>160355</v>
      </c>
      <c r="S810" s="27" t="n">
        <v>249904</v>
      </c>
      <c r="T810" s="29" t="n">
        <v>0.783</v>
      </c>
      <c r="U810" s="29" t="n">
        <v>0.307</v>
      </c>
      <c r="V810" s="29" t="n">
        <v>0.877</v>
      </c>
      <c r="W810" s="28" t="n">
        <v>11.6</v>
      </c>
    </row>
    <row r="811" customFormat="false" ht="15" hidden="false" customHeight="false" outlineLevel="0" collapsed="false">
      <c r="A811" s="25" t="s">
        <v>1043</v>
      </c>
      <c r="B811" s="25" t="s">
        <v>407</v>
      </c>
      <c r="C811" s="26" t="n">
        <v>46113</v>
      </c>
      <c r="D811" s="27" t="n">
        <v>32345</v>
      </c>
      <c r="E811" s="28" t="n">
        <v>570.8</v>
      </c>
      <c r="F811" s="29" t="n">
        <v>0.0587</v>
      </c>
      <c r="G811" s="29" t="n">
        <v>0.1708</v>
      </c>
      <c r="H811" s="30" t="n">
        <v>11.96</v>
      </c>
      <c r="I811" s="29" t="n">
        <v>0.0295</v>
      </c>
      <c r="J811" s="29" t="n">
        <v>0.0176</v>
      </c>
      <c r="K811" s="29" t="n">
        <v>0.0326</v>
      </c>
      <c r="L811" s="27" t="n">
        <v>31</v>
      </c>
      <c r="M811" s="27" t="n">
        <v>19606</v>
      </c>
      <c r="N811" s="30" t="n">
        <v>35.57</v>
      </c>
      <c r="O811" s="30" t="n">
        <v>9.87</v>
      </c>
      <c r="P811" s="29" t="n">
        <v>0.0102</v>
      </c>
      <c r="Q811" s="27" t="n">
        <v>444000</v>
      </c>
      <c r="R811" s="27" t="n">
        <v>163018</v>
      </c>
      <c r="S811" s="27" t="n">
        <v>233270</v>
      </c>
      <c r="T811" s="29" t="n">
        <v>0.763</v>
      </c>
      <c r="U811" s="29" t="n">
        <v>0.31</v>
      </c>
      <c r="V811" s="29" t="n">
        <v>0.888</v>
      </c>
      <c r="W811" s="28" t="n">
        <v>11.6</v>
      </c>
    </row>
    <row r="812" customFormat="false" ht="15" hidden="false" customHeight="false" outlineLevel="0" collapsed="false">
      <c r="A812" s="25" t="s">
        <v>1044</v>
      </c>
      <c r="B812" s="25" t="s">
        <v>407</v>
      </c>
      <c r="C812" s="26" t="n">
        <v>46143</v>
      </c>
      <c r="D812" s="27" t="n">
        <v>37572</v>
      </c>
      <c r="E812" s="28" t="n">
        <v>574.5</v>
      </c>
      <c r="F812" s="29" t="n">
        <v>0.0595</v>
      </c>
      <c r="G812" s="29" t="n">
        <v>0.1697</v>
      </c>
      <c r="H812" s="30" t="n">
        <v>13.09</v>
      </c>
      <c r="I812" s="29" t="n">
        <v>0.0302</v>
      </c>
      <c r="J812" s="29" t="n">
        <v>0.0173</v>
      </c>
      <c r="K812" s="29" t="n">
        <v>0.0271</v>
      </c>
      <c r="L812" s="27" t="n">
        <v>36</v>
      </c>
      <c r="M812" s="27" t="n">
        <v>19624</v>
      </c>
      <c r="N812" s="30" t="n">
        <v>34.59</v>
      </c>
      <c r="O812" s="30" t="n">
        <v>9.89</v>
      </c>
      <c r="P812" s="29" t="n">
        <v>0.01</v>
      </c>
      <c r="Q812" s="27" t="n">
        <v>444000</v>
      </c>
      <c r="R812" s="27" t="n">
        <v>159352</v>
      </c>
      <c r="S812" s="27" t="n">
        <v>245650</v>
      </c>
      <c r="T812" s="29" t="n">
        <v>0.779</v>
      </c>
      <c r="U812" s="29" t="n">
        <v>0.292</v>
      </c>
      <c r="V812" s="29" t="n">
        <v>0.888</v>
      </c>
      <c r="W812" s="28" t="n">
        <v>11.3</v>
      </c>
    </row>
    <row r="813" customFormat="false" ht="15" hidden="false" customHeight="false" outlineLevel="0" collapsed="false">
      <c r="A813" s="25" t="s">
        <v>1045</v>
      </c>
      <c r="B813" s="25" t="s">
        <v>407</v>
      </c>
      <c r="C813" s="26" t="n">
        <v>46174</v>
      </c>
      <c r="D813" s="27" t="n">
        <v>35157</v>
      </c>
      <c r="E813" s="28" t="n">
        <v>556.7</v>
      </c>
      <c r="F813" s="29" t="n">
        <v>0.0622</v>
      </c>
      <c r="G813" s="29" t="n">
        <v>0.1694</v>
      </c>
      <c r="H813" s="30" t="n">
        <v>12.98</v>
      </c>
      <c r="I813" s="29" t="n">
        <v>0.029</v>
      </c>
      <c r="J813" s="29" t="n">
        <v>0.0187</v>
      </c>
      <c r="K813" s="29" t="n">
        <v>0.0227</v>
      </c>
      <c r="L813" s="27" t="n">
        <v>33</v>
      </c>
      <c r="M813" s="27" t="n">
        <v>19642</v>
      </c>
      <c r="N813" s="30" t="n">
        <v>35.34</v>
      </c>
      <c r="O813" s="30" t="n">
        <v>9.94</v>
      </c>
      <c r="P813" s="29" t="n">
        <v>0.01</v>
      </c>
      <c r="Q813" s="27" t="n">
        <v>444000</v>
      </c>
      <c r="R813" s="27" t="n">
        <v>163879</v>
      </c>
      <c r="S813" s="27" t="n">
        <v>227631</v>
      </c>
      <c r="T813" s="29" t="n">
        <v>0.757</v>
      </c>
      <c r="U813" s="29" t="n">
        <v>0.298</v>
      </c>
      <c r="V813" s="29" t="n">
        <v>0.894</v>
      </c>
      <c r="W813" s="28" t="n">
        <v>11.3</v>
      </c>
    </row>
    <row r="814" customFormat="false" ht="15" hidden="false" customHeight="false" outlineLevel="0" collapsed="false">
      <c r="A814" s="25" t="s">
        <v>1046</v>
      </c>
      <c r="B814" s="25" t="s">
        <v>407</v>
      </c>
      <c r="C814" s="26" t="n">
        <v>46204</v>
      </c>
      <c r="D814" s="27" t="n">
        <v>32041</v>
      </c>
      <c r="E814" s="28" t="n">
        <v>562</v>
      </c>
      <c r="F814" s="29" t="n">
        <v>0.0544</v>
      </c>
      <c r="G814" s="29" t="n">
        <v>0.1687</v>
      </c>
      <c r="H814" s="30" t="n">
        <v>12.61</v>
      </c>
      <c r="I814" s="29" t="n">
        <v>0.0286</v>
      </c>
      <c r="J814" s="29" t="n">
        <v>0.0183</v>
      </c>
      <c r="K814" s="29" t="n">
        <v>0.0262</v>
      </c>
      <c r="L814" s="27" t="n">
        <v>30</v>
      </c>
      <c r="M814" s="27" t="n">
        <v>19660</v>
      </c>
      <c r="N814" s="30" t="n">
        <v>34.39</v>
      </c>
      <c r="O814" s="30" t="n">
        <v>9.58</v>
      </c>
      <c r="P814" s="29" t="n">
        <v>0.01</v>
      </c>
      <c r="Q814" s="27" t="n">
        <v>444000</v>
      </c>
      <c r="R814" s="27" t="n">
        <v>169751</v>
      </c>
      <c r="S814" s="27" t="n">
        <v>180782</v>
      </c>
      <c r="T814" s="29" t="n">
        <v>0.765</v>
      </c>
      <c r="U814" s="29" t="n">
        <v>0.278</v>
      </c>
      <c r="V814" s="29" t="n">
        <v>0.884</v>
      </c>
      <c r="W814" s="28" t="n">
        <v>11.2</v>
      </c>
    </row>
    <row r="815" customFormat="false" ht="15" hidden="false" customHeight="false" outlineLevel="0" collapsed="false">
      <c r="A815" s="25" t="s">
        <v>1047</v>
      </c>
      <c r="B815" s="25" t="s">
        <v>407</v>
      </c>
      <c r="C815" s="26" t="n">
        <v>46235</v>
      </c>
      <c r="D815" s="27" t="n">
        <v>34923</v>
      </c>
      <c r="E815" s="28" t="n">
        <v>560.7</v>
      </c>
      <c r="F815" s="29" t="n">
        <v>0.0561</v>
      </c>
      <c r="G815" s="29" t="n">
        <v>0.1705</v>
      </c>
      <c r="H815" s="30" t="n">
        <v>12.66</v>
      </c>
      <c r="I815" s="29" t="n">
        <v>0.0302</v>
      </c>
      <c r="J815" s="29" t="n">
        <v>0.0193</v>
      </c>
      <c r="K815" s="29" t="n">
        <v>0.0248</v>
      </c>
      <c r="L815" s="27" t="n">
        <v>34</v>
      </c>
      <c r="M815" s="27" t="n">
        <v>19677</v>
      </c>
      <c r="N815" s="30" t="n">
        <v>34.62</v>
      </c>
      <c r="O815" s="30" t="n">
        <v>9.47</v>
      </c>
      <c r="P815" s="29" t="n">
        <v>0.01</v>
      </c>
      <c r="Q815" s="27" t="n">
        <v>444000</v>
      </c>
      <c r="R815" s="27" t="n">
        <v>163885</v>
      </c>
      <c r="S815" s="27" t="n">
        <v>197273</v>
      </c>
      <c r="T815" s="29" t="n">
        <v>0.772</v>
      </c>
      <c r="U815" s="29" t="n">
        <v>0.289</v>
      </c>
      <c r="V815" s="29" t="n">
        <v>0.896</v>
      </c>
      <c r="W815" s="28" t="n">
        <v>11.7</v>
      </c>
    </row>
    <row r="816" customFormat="false" ht="15" hidden="false" customHeight="false" outlineLevel="0" collapsed="false">
      <c r="A816" s="25" t="s">
        <v>1048</v>
      </c>
      <c r="B816" s="25" t="s">
        <v>407</v>
      </c>
      <c r="C816" s="26" t="n">
        <v>46266</v>
      </c>
      <c r="D816" s="27" t="n">
        <v>36349</v>
      </c>
      <c r="E816" s="28" t="n">
        <v>555.9</v>
      </c>
      <c r="F816" s="29" t="n">
        <v>0.0549</v>
      </c>
      <c r="G816" s="29" t="n">
        <v>0.1732</v>
      </c>
      <c r="H816" s="30" t="n">
        <v>12.55</v>
      </c>
      <c r="I816" s="29" t="n">
        <v>0.0308</v>
      </c>
      <c r="J816" s="29" t="n">
        <v>0.0195</v>
      </c>
      <c r="K816" s="29" t="n">
        <v>0.027</v>
      </c>
      <c r="L816" s="27" t="n">
        <v>34</v>
      </c>
      <c r="M816" s="27" t="n">
        <v>19695</v>
      </c>
      <c r="N816" s="30" t="n">
        <v>35.65</v>
      </c>
      <c r="O816" s="30" t="n">
        <v>9.9</v>
      </c>
      <c r="P816" s="29" t="n">
        <v>0.0102</v>
      </c>
      <c r="Q816" s="27" t="n">
        <v>444000</v>
      </c>
      <c r="R816" s="27" t="n">
        <v>160498</v>
      </c>
      <c r="S816" s="27" t="n">
        <v>197479</v>
      </c>
      <c r="T816" s="29" t="n">
        <v>0.776</v>
      </c>
      <c r="U816" s="29" t="n">
        <v>0.313</v>
      </c>
      <c r="V816" s="29" t="n">
        <v>0.898</v>
      </c>
      <c r="W816" s="28" t="n">
        <v>11.5</v>
      </c>
    </row>
    <row r="817" customFormat="false" ht="15" hidden="false" customHeight="false" outlineLevel="0" collapsed="false">
      <c r="A817" s="25" t="s">
        <v>1049</v>
      </c>
      <c r="B817" s="25" t="s">
        <v>404</v>
      </c>
      <c r="C817" s="26" t="n">
        <v>45931</v>
      </c>
      <c r="D817" s="27" t="n">
        <v>3990</v>
      </c>
      <c r="E817" s="28" t="n">
        <v>658.4</v>
      </c>
      <c r="F817" s="29" t="n">
        <v>0.087</v>
      </c>
      <c r="G817" s="29" t="n">
        <v>0.1647</v>
      </c>
      <c r="H817" s="30" t="n">
        <v>12.15</v>
      </c>
      <c r="I817" s="29" t="n">
        <v>0.0165</v>
      </c>
      <c r="J817" s="29" t="n">
        <v>0.0361</v>
      </c>
      <c r="K817" s="29" t="n">
        <v>0.0432</v>
      </c>
      <c r="L817" s="27" t="n">
        <v>19</v>
      </c>
      <c r="M817" s="27" t="n">
        <v>19500</v>
      </c>
      <c r="N817" s="30" t="n">
        <v>48.97</v>
      </c>
      <c r="O817" s="30" t="n">
        <v>9.91</v>
      </c>
      <c r="P817" s="29" t="n">
        <v>0.0103</v>
      </c>
      <c r="Q817" s="27" t="n">
        <v>409500</v>
      </c>
      <c r="R817" s="27" t="n">
        <v>169038</v>
      </c>
      <c r="S817" s="27" t="n">
        <v>78397</v>
      </c>
      <c r="T817" s="29" t="n">
        <v>0.569</v>
      </c>
      <c r="U817" s="29" t="n">
        <v>0.288</v>
      </c>
      <c r="V817" s="29" t="n">
        <v>0.859</v>
      </c>
      <c r="W817" s="28" t="n">
        <v>12.6</v>
      </c>
    </row>
    <row r="818" customFormat="false" ht="15" hidden="false" customHeight="false" outlineLevel="0" collapsed="false">
      <c r="A818" s="25" t="s">
        <v>1050</v>
      </c>
      <c r="B818" s="25" t="s">
        <v>404</v>
      </c>
      <c r="C818" s="26" t="n">
        <v>45962</v>
      </c>
      <c r="D818" s="27" t="n">
        <v>3995</v>
      </c>
      <c r="E818" s="28" t="n">
        <v>672.3</v>
      </c>
      <c r="F818" s="29" t="n">
        <v>0.0893</v>
      </c>
      <c r="G818" s="29" t="n">
        <v>0.1656</v>
      </c>
      <c r="H818" s="30" t="n">
        <v>12.96</v>
      </c>
      <c r="I818" s="29" t="n">
        <v>0.0168</v>
      </c>
      <c r="J818" s="29" t="n">
        <v>0.0375</v>
      </c>
      <c r="K818" s="29" t="n">
        <v>0.039</v>
      </c>
      <c r="L818" s="27" t="n">
        <v>18</v>
      </c>
      <c r="M818" s="27" t="n">
        <v>19518</v>
      </c>
      <c r="N818" s="30" t="n">
        <v>48.07</v>
      </c>
      <c r="O818" s="30" t="n">
        <v>10</v>
      </c>
      <c r="P818" s="29" t="n">
        <v>0.0101</v>
      </c>
      <c r="Q818" s="27" t="n">
        <v>409500</v>
      </c>
      <c r="R818" s="27" t="n">
        <v>179734</v>
      </c>
      <c r="S818" s="27" t="n">
        <v>81595</v>
      </c>
      <c r="T818" s="29" t="n">
        <v>0.584</v>
      </c>
      <c r="U818" s="29" t="n">
        <v>0.285</v>
      </c>
      <c r="V818" s="29" t="n">
        <v>0.876</v>
      </c>
      <c r="W818" s="28" t="n">
        <v>11.3</v>
      </c>
    </row>
    <row r="819" customFormat="false" ht="15" hidden="false" customHeight="false" outlineLevel="0" collapsed="false">
      <c r="A819" s="25" t="s">
        <v>1051</v>
      </c>
      <c r="B819" s="25" t="s">
        <v>404</v>
      </c>
      <c r="C819" s="26" t="n">
        <v>45992</v>
      </c>
      <c r="D819" s="27" t="n">
        <v>4183</v>
      </c>
      <c r="E819" s="28" t="n">
        <v>648.1</v>
      </c>
      <c r="F819" s="29" t="n">
        <v>0.087</v>
      </c>
      <c r="G819" s="29" t="n">
        <v>0.1665</v>
      </c>
      <c r="H819" s="30" t="n">
        <v>13.11</v>
      </c>
      <c r="I819" s="29" t="n">
        <v>0.0182</v>
      </c>
      <c r="J819" s="29" t="n">
        <v>0.038</v>
      </c>
      <c r="K819" s="29" t="n">
        <v>0.0337</v>
      </c>
      <c r="L819" s="27" t="n">
        <v>19</v>
      </c>
      <c r="M819" s="27" t="n">
        <v>19535</v>
      </c>
      <c r="N819" s="30" t="n">
        <v>48.65</v>
      </c>
      <c r="O819" s="30" t="n">
        <v>9.97</v>
      </c>
      <c r="P819" s="29" t="n">
        <v>0.0108</v>
      </c>
      <c r="Q819" s="27" t="n">
        <v>409500</v>
      </c>
      <c r="R819" s="27" t="n">
        <v>166855</v>
      </c>
      <c r="S819" s="27" t="n">
        <v>86231</v>
      </c>
      <c r="T819" s="29" t="n">
        <v>0.572</v>
      </c>
      <c r="U819" s="29" t="n">
        <v>0.301</v>
      </c>
      <c r="V819" s="29" t="n">
        <v>0.885</v>
      </c>
      <c r="W819" s="28" t="n">
        <v>11.5</v>
      </c>
    </row>
    <row r="820" customFormat="false" ht="15" hidden="false" customHeight="false" outlineLevel="0" collapsed="false">
      <c r="A820" s="25" t="s">
        <v>1052</v>
      </c>
      <c r="B820" s="25" t="s">
        <v>404</v>
      </c>
      <c r="C820" s="26" t="n">
        <v>46023</v>
      </c>
      <c r="D820" s="27" t="n">
        <v>3968</v>
      </c>
      <c r="E820" s="28" t="n">
        <v>660.2</v>
      </c>
      <c r="F820" s="29" t="n">
        <v>0.0886</v>
      </c>
      <c r="G820" s="29" t="n">
        <v>0.1648</v>
      </c>
      <c r="H820" s="30" t="n">
        <v>13.29</v>
      </c>
      <c r="I820" s="29" t="n">
        <v>0.0189</v>
      </c>
      <c r="J820" s="29" t="n">
        <v>0.0382</v>
      </c>
      <c r="K820" s="29" t="n">
        <v>0.0403</v>
      </c>
      <c r="L820" s="27" t="n">
        <v>19</v>
      </c>
      <c r="M820" s="27" t="n">
        <v>19553</v>
      </c>
      <c r="N820" s="30" t="n">
        <v>48.34</v>
      </c>
      <c r="O820" s="30" t="n">
        <v>9.75</v>
      </c>
      <c r="P820" s="29" t="n">
        <v>0.0103</v>
      </c>
      <c r="Q820" s="27" t="n">
        <v>409500</v>
      </c>
      <c r="R820" s="27" t="n">
        <v>175962</v>
      </c>
      <c r="S820" s="27" t="n">
        <v>81242</v>
      </c>
      <c r="T820" s="29" t="n">
        <v>0.579</v>
      </c>
      <c r="U820" s="29" t="n">
        <v>0.302</v>
      </c>
      <c r="V820" s="29" t="n">
        <v>0.875</v>
      </c>
      <c r="W820" s="28" t="n">
        <v>11.9</v>
      </c>
    </row>
    <row r="821" customFormat="false" ht="15" hidden="false" customHeight="false" outlineLevel="0" collapsed="false">
      <c r="A821" s="25" t="s">
        <v>1053</v>
      </c>
      <c r="B821" s="25" t="s">
        <v>404</v>
      </c>
      <c r="C821" s="26" t="n">
        <v>46054</v>
      </c>
      <c r="D821" s="27" t="n">
        <v>3378</v>
      </c>
      <c r="E821" s="28" t="n">
        <v>664.4</v>
      </c>
      <c r="F821" s="29" t="n">
        <v>0.0876</v>
      </c>
      <c r="G821" s="29" t="n">
        <v>0.1651</v>
      </c>
      <c r="H821" s="30" t="n">
        <v>12.93</v>
      </c>
      <c r="I821" s="29" t="n">
        <v>0.0187</v>
      </c>
      <c r="J821" s="29" t="n">
        <v>0.0376</v>
      </c>
      <c r="K821" s="29" t="n">
        <v>0.0322</v>
      </c>
      <c r="L821" s="27" t="n">
        <v>19</v>
      </c>
      <c r="M821" s="27" t="n">
        <v>19571</v>
      </c>
      <c r="N821" s="30" t="n">
        <v>49.14</v>
      </c>
      <c r="O821" s="30" t="n">
        <v>9.37</v>
      </c>
      <c r="P821" s="29" t="n">
        <v>0.0096</v>
      </c>
      <c r="Q821" s="27" t="n">
        <v>409500</v>
      </c>
      <c r="R821" s="27" t="n">
        <v>180007</v>
      </c>
      <c r="S821" s="27" t="n">
        <v>68472</v>
      </c>
      <c r="T821" s="29" t="n">
        <v>0.608</v>
      </c>
      <c r="U821" s="29" t="n">
        <v>0.288</v>
      </c>
      <c r="V821" s="29" t="n">
        <v>0.883</v>
      </c>
      <c r="W821" s="28" t="n">
        <v>11.8</v>
      </c>
    </row>
    <row r="822" customFormat="false" ht="15" hidden="false" customHeight="false" outlineLevel="0" collapsed="false">
      <c r="A822" s="25" t="s">
        <v>1054</v>
      </c>
      <c r="B822" s="25" t="s">
        <v>404</v>
      </c>
      <c r="C822" s="26" t="n">
        <v>46082</v>
      </c>
      <c r="D822" s="27" t="n">
        <v>4077</v>
      </c>
      <c r="E822" s="28" t="n">
        <v>658.7</v>
      </c>
      <c r="F822" s="29" t="n">
        <v>0.0911</v>
      </c>
      <c r="G822" s="29" t="n">
        <v>0.1678</v>
      </c>
      <c r="H822" s="30" t="n">
        <v>11.84</v>
      </c>
      <c r="I822" s="29" t="n">
        <v>0.0191</v>
      </c>
      <c r="J822" s="29" t="n">
        <v>0.0376</v>
      </c>
      <c r="K822" s="29" t="n">
        <v>0.0332</v>
      </c>
      <c r="L822" s="27" t="n">
        <v>21</v>
      </c>
      <c r="M822" s="27" t="n">
        <v>19589</v>
      </c>
      <c r="N822" s="30" t="n">
        <v>48.61</v>
      </c>
      <c r="O822" s="30" t="n">
        <v>9.86</v>
      </c>
      <c r="P822" s="29" t="n">
        <v>0.0097</v>
      </c>
      <c r="Q822" s="27" t="n">
        <v>409500</v>
      </c>
      <c r="R822" s="27" t="n">
        <v>181157</v>
      </c>
      <c r="S822" s="27" t="n">
        <v>81221</v>
      </c>
      <c r="T822" s="29" t="n">
        <v>0.609</v>
      </c>
      <c r="U822" s="29" t="n">
        <v>0.299</v>
      </c>
      <c r="V822" s="29" t="n">
        <v>0.88</v>
      </c>
      <c r="W822" s="28" t="n">
        <v>11.6</v>
      </c>
    </row>
    <row r="823" customFormat="false" ht="15" hidden="false" customHeight="false" outlineLevel="0" collapsed="false">
      <c r="A823" s="25" t="s">
        <v>1055</v>
      </c>
      <c r="B823" s="25" t="s">
        <v>404</v>
      </c>
      <c r="C823" s="26" t="n">
        <v>46113</v>
      </c>
      <c r="D823" s="27" t="n">
        <v>7836</v>
      </c>
      <c r="E823" s="28" t="n">
        <v>657.3</v>
      </c>
      <c r="F823" s="29" t="n">
        <v>0.0863</v>
      </c>
      <c r="G823" s="29" t="n">
        <v>0.166</v>
      </c>
      <c r="H823" s="30" t="n">
        <v>12.56</v>
      </c>
      <c r="I823" s="29" t="n">
        <v>0.0184</v>
      </c>
      <c r="J823" s="29" t="n">
        <v>0.0361</v>
      </c>
      <c r="K823" s="29" t="n">
        <v>0.0384</v>
      </c>
      <c r="L823" s="27" t="n">
        <v>19</v>
      </c>
      <c r="M823" s="27" t="n">
        <v>19606</v>
      </c>
      <c r="N823" s="30" t="n">
        <v>46.39</v>
      </c>
      <c r="O823" s="30" t="n">
        <v>9.81</v>
      </c>
      <c r="P823" s="29" t="n">
        <v>0.0095</v>
      </c>
      <c r="Q823" s="27" t="n">
        <v>409500</v>
      </c>
      <c r="R823" s="27" t="n">
        <v>171572</v>
      </c>
      <c r="S823" s="27" t="n">
        <v>144765</v>
      </c>
      <c r="T823" s="29" t="n">
        <v>0.594</v>
      </c>
      <c r="U823" s="29" t="n">
        <v>0.288</v>
      </c>
      <c r="V823" s="29" t="n">
        <v>0.858</v>
      </c>
      <c r="W823" s="28" t="n">
        <v>12.4</v>
      </c>
    </row>
    <row r="824" customFormat="false" ht="15" hidden="false" customHeight="false" outlineLevel="0" collapsed="false">
      <c r="A824" s="25" t="s">
        <v>1056</v>
      </c>
      <c r="B824" s="25" t="s">
        <v>404</v>
      </c>
      <c r="C824" s="26" t="n">
        <v>46143</v>
      </c>
      <c r="D824" s="27" t="n">
        <v>11611</v>
      </c>
      <c r="E824" s="28" t="n">
        <v>649.5</v>
      </c>
      <c r="F824" s="29" t="n">
        <v>0.079</v>
      </c>
      <c r="G824" s="29" t="n">
        <v>0.165</v>
      </c>
      <c r="H824" s="30" t="n">
        <v>12.74</v>
      </c>
      <c r="I824" s="29" t="n">
        <v>0.0204</v>
      </c>
      <c r="J824" s="29" t="n">
        <v>0.0322</v>
      </c>
      <c r="K824" s="29" t="n">
        <v>0.029</v>
      </c>
      <c r="L824" s="27" t="n">
        <v>19</v>
      </c>
      <c r="M824" s="27" t="n">
        <v>19624</v>
      </c>
      <c r="N824" s="30" t="n">
        <v>45.39</v>
      </c>
      <c r="O824" s="30" t="n">
        <v>9.66</v>
      </c>
      <c r="P824" s="29" t="n">
        <v>0.0097</v>
      </c>
      <c r="Q824" s="27" t="n">
        <v>409500</v>
      </c>
      <c r="R824" s="27" t="n">
        <v>180929</v>
      </c>
      <c r="S824" s="27" t="n">
        <v>193872</v>
      </c>
      <c r="T824" s="29" t="n">
        <v>0.625</v>
      </c>
      <c r="U824" s="29" t="n">
        <v>0.282</v>
      </c>
      <c r="V824" s="29" t="n">
        <v>0.889</v>
      </c>
      <c r="W824" s="28" t="n">
        <v>11.7</v>
      </c>
    </row>
    <row r="825" customFormat="false" ht="15" hidden="false" customHeight="false" outlineLevel="0" collapsed="false">
      <c r="A825" s="25" t="s">
        <v>1057</v>
      </c>
      <c r="B825" s="25" t="s">
        <v>404</v>
      </c>
      <c r="C825" s="26" t="n">
        <v>46174</v>
      </c>
      <c r="D825" s="27" t="n">
        <v>14104</v>
      </c>
      <c r="E825" s="28" t="n">
        <v>692.6</v>
      </c>
      <c r="F825" s="29" t="n">
        <v>0.0742</v>
      </c>
      <c r="G825" s="29" t="n">
        <v>0.1646</v>
      </c>
      <c r="H825" s="30" t="n">
        <v>12.64</v>
      </c>
      <c r="I825" s="29" t="n">
        <v>0.0218</v>
      </c>
      <c r="J825" s="29" t="n">
        <v>0.0306</v>
      </c>
      <c r="K825" s="29" t="n">
        <v>0.04</v>
      </c>
      <c r="L825" s="27" t="n">
        <v>19</v>
      </c>
      <c r="M825" s="27" t="n">
        <v>19642</v>
      </c>
      <c r="N825" s="30" t="n">
        <v>44.46</v>
      </c>
      <c r="O825" s="30" t="n">
        <v>9.99</v>
      </c>
      <c r="P825" s="29" t="n">
        <v>0.0099</v>
      </c>
      <c r="Q825" s="27" t="n">
        <v>409500</v>
      </c>
      <c r="R825" s="27" t="n">
        <v>185186</v>
      </c>
      <c r="S825" s="27" t="n">
        <v>225317</v>
      </c>
      <c r="T825" s="29" t="n">
        <v>0.657</v>
      </c>
      <c r="U825" s="29" t="n">
        <v>0.295</v>
      </c>
      <c r="V825" s="29" t="n">
        <v>0.862</v>
      </c>
      <c r="W825" s="28" t="n">
        <v>12.1</v>
      </c>
    </row>
    <row r="826" customFormat="false" ht="15" hidden="false" customHeight="false" outlineLevel="0" collapsed="false">
      <c r="A826" s="25" t="s">
        <v>1058</v>
      </c>
      <c r="B826" s="25" t="s">
        <v>404</v>
      </c>
      <c r="C826" s="26" t="n">
        <v>46204</v>
      </c>
      <c r="D826" s="27" t="n">
        <v>15208</v>
      </c>
      <c r="E826" s="28" t="n">
        <v>644.7</v>
      </c>
      <c r="F826" s="29" t="n">
        <v>0.0748</v>
      </c>
      <c r="G826" s="29" t="n">
        <v>0.1661</v>
      </c>
      <c r="H826" s="30" t="n">
        <v>12.11</v>
      </c>
      <c r="I826" s="29" t="n">
        <v>0.0217</v>
      </c>
      <c r="J826" s="29" t="n">
        <v>0.0294</v>
      </c>
      <c r="K826" s="29" t="n">
        <v>0.0378</v>
      </c>
      <c r="L826" s="27" t="n">
        <v>19</v>
      </c>
      <c r="M826" s="27" t="n">
        <v>19660</v>
      </c>
      <c r="N826" s="30" t="n">
        <v>44.36</v>
      </c>
      <c r="O826" s="30" t="n">
        <v>10.31</v>
      </c>
      <c r="P826" s="29" t="n">
        <v>0.0106</v>
      </c>
      <c r="Q826" s="27" t="n">
        <v>409500</v>
      </c>
      <c r="R826" s="27" t="n">
        <v>175002</v>
      </c>
      <c r="S826" s="27" t="n">
        <v>208436</v>
      </c>
      <c r="T826" s="29" t="n">
        <v>0.682</v>
      </c>
      <c r="U826" s="29" t="n">
        <v>0.271</v>
      </c>
      <c r="V826" s="29" t="n">
        <v>0.879</v>
      </c>
      <c r="W826" s="28" t="n">
        <v>11.6</v>
      </c>
    </row>
    <row r="827" customFormat="false" ht="15" hidden="false" customHeight="false" outlineLevel="0" collapsed="false">
      <c r="A827" s="25" t="s">
        <v>1059</v>
      </c>
      <c r="B827" s="25" t="s">
        <v>404</v>
      </c>
      <c r="C827" s="26" t="n">
        <v>46235</v>
      </c>
      <c r="D827" s="27" t="n">
        <v>19728</v>
      </c>
      <c r="E827" s="28" t="n">
        <v>651.2</v>
      </c>
      <c r="F827" s="29" t="n">
        <v>0.0688</v>
      </c>
      <c r="G827" s="29" t="n">
        <v>0.1618</v>
      </c>
      <c r="H827" s="30" t="n">
        <v>12.55</v>
      </c>
      <c r="I827" s="29" t="n">
        <v>0.024</v>
      </c>
      <c r="J827" s="29" t="n">
        <v>0.0283</v>
      </c>
      <c r="K827" s="29" t="n">
        <v>0.0425</v>
      </c>
      <c r="L827" s="27" t="n">
        <v>22</v>
      </c>
      <c r="M827" s="27" t="n">
        <v>19677</v>
      </c>
      <c r="N827" s="30" t="n">
        <v>43.16</v>
      </c>
      <c r="O827" s="30" t="n">
        <v>9.52</v>
      </c>
      <c r="P827" s="29" t="n">
        <v>0.0101</v>
      </c>
      <c r="Q827" s="27" t="n">
        <v>409500</v>
      </c>
      <c r="R827" s="27" t="n">
        <v>176818</v>
      </c>
      <c r="S827" s="27" t="n">
        <v>245255</v>
      </c>
      <c r="T827" s="29" t="n">
        <v>0.681</v>
      </c>
      <c r="U827" s="29" t="n">
        <v>0.292</v>
      </c>
      <c r="V827" s="29" t="n">
        <v>0.852</v>
      </c>
      <c r="W827" s="28" t="n">
        <v>12.2</v>
      </c>
    </row>
    <row r="828" customFormat="false" ht="15" hidden="false" customHeight="false" outlineLevel="0" collapsed="false">
      <c r="A828" s="25" t="s">
        <v>1060</v>
      </c>
      <c r="B828" s="25" t="s">
        <v>404</v>
      </c>
      <c r="C828" s="26" t="n">
        <v>46266</v>
      </c>
      <c r="D828" s="27" t="n">
        <v>20405</v>
      </c>
      <c r="E828" s="28" t="n">
        <v>674.7</v>
      </c>
      <c r="F828" s="29" t="n">
        <v>0.0675</v>
      </c>
      <c r="G828" s="29" t="n">
        <v>0.1672</v>
      </c>
      <c r="H828" s="30" t="n">
        <v>12.08</v>
      </c>
      <c r="I828" s="29" t="n">
        <v>0.0223</v>
      </c>
      <c r="J828" s="29" t="n">
        <v>0.0273</v>
      </c>
      <c r="K828" s="29" t="n">
        <v>0.036</v>
      </c>
      <c r="L828" s="27" t="n">
        <v>24</v>
      </c>
      <c r="M828" s="27" t="n">
        <v>19695</v>
      </c>
      <c r="N828" s="30" t="n">
        <v>42.36</v>
      </c>
      <c r="O828" s="30" t="n">
        <v>9.75</v>
      </c>
      <c r="P828" s="29" t="n">
        <v>0.0104</v>
      </c>
      <c r="Q828" s="27" t="n">
        <v>409500</v>
      </c>
      <c r="R828" s="27" t="n">
        <v>175605</v>
      </c>
      <c r="S828" s="27" t="n">
        <v>248451</v>
      </c>
      <c r="T828" s="29" t="n">
        <v>0.715</v>
      </c>
      <c r="U828" s="29" t="n">
        <v>0.3</v>
      </c>
      <c r="V828" s="29" t="n">
        <v>0.887</v>
      </c>
      <c r="W828" s="28" t="n">
        <v>11.6</v>
      </c>
    </row>
    <row r="829" customFormat="false" ht="15" hidden="false" customHeight="false" outlineLevel="0" collapsed="false">
      <c r="A829" s="25" t="s">
        <v>1061</v>
      </c>
      <c r="B829" s="25" t="s">
        <v>408</v>
      </c>
      <c r="C829" s="26" t="n">
        <v>45931</v>
      </c>
      <c r="D829" s="27" t="n">
        <v>14425</v>
      </c>
      <c r="E829" s="28" t="n">
        <v>627.8</v>
      </c>
      <c r="F829" s="29" t="n">
        <v>0.0574</v>
      </c>
      <c r="G829" s="29" t="n">
        <v>0.171</v>
      </c>
      <c r="H829" s="30" t="n">
        <v>12.36</v>
      </c>
      <c r="I829" s="29" t="n">
        <v>0.0207</v>
      </c>
      <c r="J829" s="29" t="n">
        <v>0.0436</v>
      </c>
      <c r="K829" s="29" t="n">
        <v>0.0803</v>
      </c>
      <c r="L829" s="27" t="n">
        <v>16</v>
      </c>
      <c r="M829" s="27" t="n">
        <v>19500</v>
      </c>
      <c r="N829" s="30" t="n">
        <v>43.82</v>
      </c>
      <c r="O829" s="30" t="n">
        <v>9.81</v>
      </c>
      <c r="P829" s="29" t="n">
        <v>0.0101</v>
      </c>
      <c r="Q829" s="27" t="n">
        <v>267000</v>
      </c>
      <c r="R829" s="27" t="n">
        <v>144656</v>
      </c>
      <c r="S829" s="27" t="n">
        <v>145462</v>
      </c>
      <c r="T829" s="29" t="n">
        <v>0.718</v>
      </c>
      <c r="U829" s="29" t="n">
        <v>0.252</v>
      </c>
      <c r="V829" s="29" t="n">
        <v>0.81</v>
      </c>
      <c r="W829" s="28" t="n">
        <v>12.8</v>
      </c>
    </row>
    <row r="830" customFormat="false" ht="15" hidden="false" customHeight="false" outlineLevel="0" collapsed="false">
      <c r="A830" s="25" t="s">
        <v>1062</v>
      </c>
      <c r="B830" s="25" t="s">
        <v>408</v>
      </c>
      <c r="C830" s="26" t="n">
        <v>45962</v>
      </c>
      <c r="D830" s="27" t="n">
        <v>14750</v>
      </c>
      <c r="E830" s="28" t="n">
        <v>625.2</v>
      </c>
      <c r="F830" s="29" t="n">
        <v>0.0621</v>
      </c>
      <c r="G830" s="29" t="n">
        <v>0.1642</v>
      </c>
      <c r="H830" s="30" t="n">
        <v>11.99</v>
      </c>
      <c r="I830" s="29" t="n">
        <v>0.0222</v>
      </c>
      <c r="J830" s="29" t="n">
        <v>0.0412</v>
      </c>
      <c r="K830" s="29" t="n">
        <v>0.0735</v>
      </c>
      <c r="L830" s="27" t="n">
        <v>16</v>
      </c>
      <c r="M830" s="27" t="n">
        <v>19518</v>
      </c>
      <c r="N830" s="30" t="n">
        <v>42.49</v>
      </c>
      <c r="O830" s="30" t="n">
        <v>9.8</v>
      </c>
      <c r="P830" s="29" t="n">
        <v>0.0102</v>
      </c>
      <c r="Q830" s="27" t="n">
        <v>267000</v>
      </c>
      <c r="R830" s="27" t="n">
        <v>138950</v>
      </c>
      <c r="S830" s="27" t="n">
        <v>120952</v>
      </c>
      <c r="T830" s="29" t="n">
        <v>0.729</v>
      </c>
      <c r="U830" s="29" t="n">
        <v>0.264</v>
      </c>
      <c r="V830" s="29" t="n">
        <v>0.806</v>
      </c>
      <c r="W830" s="28" t="n">
        <v>13.2</v>
      </c>
    </row>
    <row r="831" customFormat="false" ht="15" hidden="false" customHeight="false" outlineLevel="0" collapsed="false">
      <c r="A831" s="25" t="s">
        <v>1063</v>
      </c>
      <c r="B831" s="25" t="s">
        <v>408</v>
      </c>
      <c r="C831" s="26" t="n">
        <v>45992</v>
      </c>
      <c r="D831" s="27" t="n">
        <v>15900</v>
      </c>
      <c r="E831" s="28" t="n">
        <v>624.6</v>
      </c>
      <c r="F831" s="29" t="n">
        <v>0.0556</v>
      </c>
      <c r="G831" s="29" t="n">
        <v>0.1661</v>
      </c>
      <c r="H831" s="30" t="n">
        <v>12</v>
      </c>
      <c r="I831" s="29" t="n">
        <v>0.0228</v>
      </c>
      <c r="J831" s="29" t="n">
        <v>0.0414</v>
      </c>
      <c r="K831" s="29" t="n">
        <v>0.0765</v>
      </c>
      <c r="L831" s="27" t="n">
        <v>16</v>
      </c>
      <c r="M831" s="27" t="n">
        <v>19535</v>
      </c>
      <c r="N831" s="30" t="n">
        <v>42.48</v>
      </c>
      <c r="O831" s="30" t="n">
        <v>9.67</v>
      </c>
      <c r="P831" s="29" t="n">
        <v>0.0098</v>
      </c>
      <c r="Q831" s="27" t="n">
        <v>267000</v>
      </c>
      <c r="R831" s="27" t="n">
        <v>142765</v>
      </c>
      <c r="S831" s="27" t="n">
        <v>128637</v>
      </c>
      <c r="T831" s="29" t="n">
        <v>0.736</v>
      </c>
      <c r="U831" s="29" t="n">
        <v>0.242</v>
      </c>
      <c r="V831" s="29" t="n">
        <v>0.806</v>
      </c>
      <c r="W831" s="28" t="n">
        <v>13.7</v>
      </c>
    </row>
    <row r="832" customFormat="false" ht="15" hidden="false" customHeight="false" outlineLevel="0" collapsed="false">
      <c r="A832" s="25" t="s">
        <v>1064</v>
      </c>
      <c r="B832" s="25" t="s">
        <v>408</v>
      </c>
      <c r="C832" s="26" t="n">
        <v>46023</v>
      </c>
      <c r="D832" s="27" t="n">
        <v>15460</v>
      </c>
      <c r="E832" s="28" t="n">
        <v>628.1</v>
      </c>
      <c r="F832" s="29" t="n">
        <v>0.0551</v>
      </c>
      <c r="G832" s="29" t="n">
        <v>0.1681</v>
      </c>
      <c r="H832" s="30" t="n">
        <v>11.85</v>
      </c>
      <c r="I832" s="29" t="n">
        <v>0.0207</v>
      </c>
      <c r="J832" s="29" t="n">
        <v>0.0429</v>
      </c>
      <c r="K832" s="29" t="n">
        <v>0.072</v>
      </c>
      <c r="L832" s="27" t="n">
        <v>16</v>
      </c>
      <c r="M832" s="27" t="n">
        <v>19553</v>
      </c>
      <c r="N832" s="30" t="n">
        <v>42.63</v>
      </c>
      <c r="O832" s="30" t="n">
        <v>10</v>
      </c>
      <c r="P832" s="29" t="n">
        <v>0.0098</v>
      </c>
      <c r="Q832" s="27" t="n">
        <v>267000</v>
      </c>
      <c r="R832" s="27" t="n">
        <v>148165</v>
      </c>
      <c r="S832" s="27" t="n">
        <v>120848</v>
      </c>
      <c r="T832" s="29" t="n">
        <v>0.729</v>
      </c>
      <c r="U832" s="29" t="n">
        <v>0.264</v>
      </c>
      <c r="V832" s="29" t="n">
        <v>0.814</v>
      </c>
      <c r="W832" s="28" t="n">
        <v>13.4</v>
      </c>
    </row>
    <row r="833" customFormat="false" ht="15" hidden="false" customHeight="false" outlineLevel="0" collapsed="false">
      <c r="A833" s="25" t="s">
        <v>1065</v>
      </c>
      <c r="B833" s="25" t="s">
        <v>408</v>
      </c>
      <c r="C833" s="26" t="n">
        <v>46054</v>
      </c>
      <c r="D833" s="27" t="n">
        <v>16609</v>
      </c>
      <c r="E833" s="28" t="n">
        <v>624.4</v>
      </c>
      <c r="F833" s="29" t="n">
        <v>0.058</v>
      </c>
      <c r="G833" s="29" t="n">
        <v>0.1653</v>
      </c>
      <c r="H833" s="30" t="n">
        <v>12.29</v>
      </c>
      <c r="I833" s="29" t="n">
        <v>0.0244</v>
      </c>
      <c r="J833" s="29" t="n">
        <v>0.0414</v>
      </c>
      <c r="K833" s="29" t="n">
        <v>0.0802</v>
      </c>
      <c r="L833" s="27" t="n">
        <v>17</v>
      </c>
      <c r="M833" s="27" t="n">
        <v>19571</v>
      </c>
      <c r="N833" s="30" t="n">
        <v>42.86</v>
      </c>
      <c r="O833" s="30" t="n">
        <v>10.23</v>
      </c>
      <c r="P833" s="29" t="n">
        <v>0.0104</v>
      </c>
      <c r="Q833" s="27" t="n">
        <v>267000</v>
      </c>
      <c r="R833" s="27" t="n">
        <v>133146</v>
      </c>
      <c r="S833" s="27" t="n">
        <v>130860</v>
      </c>
      <c r="T833" s="29" t="n">
        <v>0.768</v>
      </c>
      <c r="U833" s="29" t="n">
        <v>0.263</v>
      </c>
      <c r="V833" s="29" t="n">
        <v>0.824</v>
      </c>
      <c r="W833" s="28" t="n">
        <v>13.3</v>
      </c>
    </row>
    <row r="834" customFormat="false" ht="15" hidden="false" customHeight="false" outlineLevel="0" collapsed="false">
      <c r="A834" s="25" t="s">
        <v>1066</v>
      </c>
      <c r="B834" s="25" t="s">
        <v>408</v>
      </c>
      <c r="C834" s="26" t="n">
        <v>46082</v>
      </c>
      <c r="D834" s="27" t="n">
        <v>18576</v>
      </c>
      <c r="E834" s="28" t="n">
        <v>639.5</v>
      </c>
      <c r="F834" s="29" t="n">
        <v>0.0587</v>
      </c>
      <c r="G834" s="29" t="n">
        <v>0.1697</v>
      </c>
      <c r="H834" s="30" t="n">
        <v>12.8</v>
      </c>
      <c r="I834" s="29" t="n">
        <v>0.0232</v>
      </c>
      <c r="J834" s="29" t="n">
        <v>0.0407</v>
      </c>
      <c r="K834" s="29" t="n">
        <v>0.0743</v>
      </c>
      <c r="L834" s="27" t="n">
        <v>18</v>
      </c>
      <c r="M834" s="27" t="n">
        <v>19589</v>
      </c>
      <c r="N834" s="30" t="n">
        <v>42.04</v>
      </c>
      <c r="O834" s="30" t="n">
        <v>9.59</v>
      </c>
      <c r="P834" s="29" t="n">
        <v>0.0098</v>
      </c>
      <c r="Q834" s="27" t="n">
        <v>267000</v>
      </c>
      <c r="R834" s="27" t="n">
        <v>132713</v>
      </c>
      <c r="S834" s="27" t="n">
        <v>141125</v>
      </c>
      <c r="T834" s="29" t="n">
        <v>0.744</v>
      </c>
      <c r="U834" s="29" t="n">
        <v>0.245</v>
      </c>
      <c r="V834" s="29" t="n">
        <v>0.814</v>
      </c>
      <c r="W834" s="28" t="n">
        <v>13.7</v>
      </c>
    </row>
    <row r="835" customFormat="false" ht="15" hidden="false" customHeight="false" outlineLevel="0" collapsed="false">
      <c r="A835" s="25" t="s">
        <v>1067</v>
      </c>
      <c r="B835" s="25" t="s">
        <v>408</v>
      </c>
      <c r="C835" s="26" t="n">
        <v>46113</v>
      </c>
      <c r="D835" s="27" t="n">
        <v>17942</v>
      </c>
      <c r="E835" s="28" t="n">
        <v>635.2</v>
      </c>
      <c r="F835" s="29" t="n">
        <v>0.0519</v>
      </c>
      <c r="G835" s="29" t="n">
        <v>0.168</v>
      </c>
      <c r="H835" s="30" t="n">
        <v>11.61</v>
      </c>
      <c r="I835" s="29" t="n">
        <v>0.0234</v>
      </c>
      <c r="J835" s="29" t="n">
        <v>0.04</v>
      </c>
      <c r="K835" s="29" t="n">
        <v>0.075</v>
      </c>
      <c r="L835" s="27" t="n">
        <v>19</v>
      </c>
      <c r="M835" s="27" t="n">
        <v>19606</v>
      </c>
      <c r="N835" s="30" t="n">
        <v>42.28</v>
      </c>
      <c r="O835" s="30" t="n">
        <v>9.94</v>
      </c>
      <c r="P835" s="29" t="n">
        <v>0.0099</v>
      </c>
      <c r="Q835" s="27" t="n">
        <v>267000</v>
      </c>
      <c r="R835" s="27" t="n">
        <v>137162</v>
      </c>
      <c r="S835" s="27" t="n">
        <v>122350</v>
      </c>
      <c r="T835" s="29" t="n">
        <v>0.786</v>
      </c>
      <c r="U835" s="29" t="n">
        <v>0.241</v>
      </c>
      <c r="V835" s="29" t="n">
        <v>0.812</v>
      </c>
      <c r="W835" s="28" t="n">
        <v>13.7</v>
      </c>
    </row>
    <row r="836" customFormat="false" ht="15" hidden="false" customHeight="false" outlineLevel="0" collapsed="false">
      <c r="A836" s="25" t="s">
        <v>1068</v>
      </c>
      <c r="B836" s="25" t="s">
        <v>408</v>
      </c>
      <c r="C836" s="26" t="n">
        <v>46143</v>
      </c>
      <c r="D836" s="27" t="n">
        <v>20892</v>
      </c>
      <c r="E836" s="28" t="n">
        <v>645.5</v>
      </c>
      <c r="F836" s="29" t="n">
        <v>0.0547</v>
      </c>
      <c r="G836" s="29" t="n">
        <v>0.1668</v>
      </c>
      <c r="H836" s="30" t="n">
        <v>12.24</v>
      </c>
      <c r="I836" s="29" t="n">
        <v>0.0231</v>
      </c>
      <c r="J836" s="29" t="n">
        <v>0.0385</v>
      </c>
      <c r="K836" s="29" t="n">
        <v>0.0775</v>
      </c>
      <c r="L836" s="27" t="n">
        <v>21</v>
      </c>
      <c r="M836" s="27" t="n">
        <v>19624</v>
      </c>
      <c r="N836" s="30" t="n">
        <v>40.56</v>
      </c>
      <c r="O836" s="30" t="n">
        <v>10.22</v>
      </c>
      <c r="P836" s="29" t="n">
        <v>0.0099</v>
      </c>
      <c r="Q836" s="27" t="n">
        <v>267000</v>
      </c>
      <c r="R836" s="27" t="n">
        <v>137471</v>
      </c>
      <c r="S836" s="27" t="n">
        <v>148325</v>
      </c>
      <c r="T836" s="29" t="n">
        <v>0.781</v>
      </c>
      <c r="U836" s="29" t="n">
        <v>0.267</v>
      </c>
      <c r="V836" s="29" t="n">
        <v>0.832</v>
      </c>
      <c r="W836" s="28" t="n">
        <v>12.6</v>
      </c>
    </row>
    <row r="837" customFormat="false" ht="15" hidden="false" customHeight="false" outlineLevel="0" collapsed="false">
      <c r="A837" s="25" t="s">
        <v>1069</v>
      </c>
      <c r="B837" s="25" t="s">
        <v>408</v>
      </c>
      <c r="C837" s="26" t="n">
        <v>46174</v>
      </c>
      <c r="D837" s="27" t="n">
        <v>19797</v>
      </c>
      <c r="E837" s="28" t="n">
        <v>645.1</v>
      </c>
      <c r="F837" s="29" t="n">
        <v>0.0573</v>
      </c>
      <c r="G837" s="29" t="n">
        <v>0.17</v>
      </c>
      <c r="H837" s="30" t="n">
        <v>12.1</v>
      </c>
      <c r="I837" s="29" t="n">
        <v>0.025</v>
      </c>
      <c r="J837" s="29" t="n">
        <v>0.0388</v>
      </c>
      <c r="K837" s="29" t="n">
        <v>0.0707</v>
      </c>
      <c r="L837" s="27" t="n">
        <v>19</v>
      </c>
      <c r="M837" s="27" t="n">
        <v>19642</v>
      </c>
      <c r="N837" s="30" t="n">
        <v>41.24</v>
      </c>
      <c r="O837" s="30" t="n">
        <v>9.88</v>
      </c>
      <c r="P837" s="29" t="n">
        <v>0.0097</v>
      </c>
      <c r="Q837" s="27" t="n">
        <v>267000</v>
      </c>
      <c r="R837" s="27" t="n">
        <v>129672</v>
      </c>
      <c r="S837" s="27" t="n">
        <v>134215</v>
      </c>
      <c r="T837" s="29" t="n">
        <v>0.79</v>
      </c>
      <c r="U837" s="29" t="n">
        <v>0.256</v>
      </c>
      <c r="V837" s="29" t="n">
        <v>0.83</v>
      </c>
      <c r="W837" s="28" t="n">
        <v>12.6</v>
      </c>
    </row>
    <row r="838" customFormat="false" ht="15" hidden="false" customHeight="false" outlineLevel="0" collapsed="false">
      <c r="A838" s="25" t="s">
        <v>1070</v>
      </c>
      <c r="B838" s="25" t="s">
        <v>408</v>
      </c>
      <c r="C838" s="26" t="n">
        <v>46204</v>
      </c>
      <c r="D838" s="27" t="n">
        <v>19892</v>
      </c>
      <c r="E838" s="28" t="n">
        <v>641.2</v>
      </c>
      <c r="F838" s="29" t="n">
        <v>0.0531</v>
      </c>
      <c r="G838" s="29" t="n">
        <v>0.1692</v>
      </c>
      <c r="H838" s="30" t="n">
        <v>12.44</v>
      </c>
      <c r="I838" s="29" t="n">
        <v>0.0235</v>
      </c>
      <c r="J838" s="29" t="n">
        <v>0.0392</v>
      </c>
      <c r="K838" s="29" t="n">
        <v>0.0769</v>
      </c>
      <c r="L838" s="27" t="n">
        <v>19</v>
      </c>
      <c r="M838" s="27" t="n">
        <v>19660</v>
      </c>
      <c r="N838" s="30" t="n">
        <v>41.76</v>
      </c>
      <c r="O838" s="30" t="n">
        <v>9.93</v>
      </c>
      <c r="P838" s="29" t="n">
        <v>0.0101</v>
      </c>
      <c r="Q838" s="27" t="n">
        <v>267000</v>
      </c>
      <c r="R838" s="27" t="n">
        <v>138903</v>
      </c>
      <c r="S838" s="27" t="n">
        <v>125896</v>
      </c>
      <c r="T838" s="29" t="n">
        <v>0.788</v>
      </c>
      <c r="U838" s="29" t="n">
        <v>0.263</v>
      </c>
      <c r="V838" s="29" t="n">
        <v>0.809</v>
      </c>
      <c r="W838" s="28" t="n">
        <v>13.6</v>
      </c>
    </row>
    <row r="839" customFormat="false" ht="15" hidden="false" customHeight="false" outlineLevel="0" collapsed="false">
      <c r="A839" s="25" t="s">
        <v>1071</v>
      </c>
      <c r="B839" s="25" t="s">
        <v>408</v>
      </c>
      <c r="C839" s="26" t="n">
        <v>46235</v>
      </c>
      <c r="D839" s="27" t="n">
        <v>20688</v>
      </c>
      <c r="E839" s="28" t="n">
        <v>631.8</v>
      </c>
      <c r="F839" s="29" t="n">
        <v>0.0524</v>
      </c>
      <c r="G839" s="29" t="n">
        <v>0.1677</v>
      </c>
      <c r="H839" s="30" t="n">
        <v>12.36</v>
      </c>
      <c r="I839" s="29" t="n">
        <v>0.0235</v>
      </c>
      <c r="J839" s="29" t="n">
        <v>0.0398</v>
      </c>
      <c r="K839" s="29" t="n">
        <v>0.0815</v>
      </c>
      <c r="L839" s="27" t="n">
        <v>20</v>
      </c>
      <c r="M839" s="27" t="n">
        <v>19677</v>
      </c>
      <c r="N839" s="30" t="n">
        <v>40.71</v>
      </c>
      <c r="O839" s="30" t="n">
        <v>10.07</v>
      </c>
      <c r="P839" s="29" t="n">
        <v>0.0097</v>
      </c>
      <c r="Q839" s="27" t="n">
        <v>267000</v>
      </c>
      <c r="R839" s="27" t="n">
        <v>142349</v>
      </c>
      <c r="S839" s="27" t="n">
        <v>121447</v>
      </c>
      <c r="T839" s="29" t="n">
        <v>0.787</v>
      </c>
      <c r="U839" s="29" t="n">
        <v>0.242</v>
      </c>
      <c r="V839" s="29" t="n">
        <v>0.801</v>
      </c>
      <c r="W839" s="28" t="n">
        <v>13.3</v>
      </c>
    </row>
    <row r="840" customFormat="false" ht="15" hidden="false" customHeight="false" outlineLevel="0" collapsed="false">
      <c r="A840" s="25" t="s">
        <v>1072</v>
      </c>
      <c r="B840" s="25" t="s">
        <v>408</v>
      </c>
      <c r="C840" s="26" t="n">
        <v>46266</v>
      </c>
      <c r="D840" s="27" t="n">
        <v>20092</v>
      </c>
      <c r="E840" s="28" t="n">
        <v>616.2</v>
      </c>
      <c r="F840" s="29" t="n">
        <v>0.056</v>
      </c>
      <c r="G840" s="29" t="n">
        <v>0.171</v>
      </c>
      <c r="H840" s="30" t="n">
        <v>11.34</v>
      </c>
      <c r="I840" s="29" t="n">
        <v>0.0257</v>
      </c>
      <c r="J840" s="29" t="n">
        <v>0.0386</v>
      </c>
      <c r="K840" s="29" t="n">
        <v>0.0786</v>
      </c>
      <c r="L840" s="27" t="n">
        <v>20</v>
      </c>
      <c r="M840" s="27" t="n">
        <v>19695</v>
      </c>
      <c r="N840" s="30" t="n">
        <v>41.02</v>
      </c>
      <c r="O840" s="30" t="n">
        <v>9.87</v>
      </c>
      <c r="P840" s="29" t="n">
        <v>0.0104</v>
      </c>
      <c r="Q840" s="27" t="n">
        <v>267000</v>
      </c>
      <c r="R840" s="27" t="n">
        <v>141851</v>
      </c>
      <c r="S840" s="27" t="n">
        <v>103669</v>
      </c>
      <c r="T840" s="29" t="n">
        <v>0.799</v>
      </c>
      <c r="U840" s="29" t="n">
        <v>0.256</v>
      </c>
      <c r="V840" s="29" t="n">
        <v>0.82</v>
      </c>
      <c r="W840" s="28" t="n">
        <v>13.3</v>
      </c>
    </row>
    <row r="841" customFormat="false" ht="15" hidden="false" customHeight="false" outlineLevel="0" collapsed="false">
      <c r="A841" s="25" t="s">
        <v>1073</v>
      </c>
      <c r="B841" s="25" t="s">
        <v>406</v>
      </c>
      <c r="C841" s="26" t="n">
        <v>45931</v>
      </c>
      <c r="D841" s="27" t="n">
        <v>1477</v>
      </c>
      <c r="E841" s="28" t="n">
        <v>627.4</v>
      </c>
      <c r="F841" s="29" t="n">
        <v>0.0878</v>
      </c>
      <c r="G841" s="29" t="n">
        <v>0.1718</v>
      </c>
      <c r="H841" s="30" t="n">
        <v>12.54</v>
      </c>
      <c r="I841" s="29" t="n">
        <v>0.0165</v>
      </c>
      <c r="J841" s="29" t="n">
        <v>0.0399</v>
      </c>
      <c r="K841" s="29" t="n">
        <v>0.0434</v>
      </c>
      <c r="L841" s="27" t="n">
        <v>16</v>
      </c>
      <c r="M841" s="27" t="n">
        <v>19500</v>
      </c>
      <c r="N841" s="30" t="n">
        <v>44.43</v>
      </c>
      <c r="O841" s="30" t="n">
        <v>10.08</v>
      </c>
      <c r="P841" s="29" t="n">
        <v>0.01</v>
      </c>
      <c r="Q841" s="27" t="n">
        <v>404000</v>
      </c>
      <c r="R841" s="27" t="n">
        <v>163003</v>
      </c>
      <c r="S841" s="27" t="n">
        <v>28785</v>
      </c>
      <c r="T841" s="29" t="n">
        <v>0.586</v>
      </c>
      <c r="U841" s="29" t="n">
        <v>0.315</v>
      </c>
      <c r="V841" s="29" t="n">
        <v>0.879</v>
      </c>
      <c r="W841" s="28" t="n">
        <v>11.8</v>
      </c>
    </row>
    <row r="842" customFormat="false" ht="15" hidden="false" customHeight="false" outlineLevel="0" collapsed="false">
      <c r="A842" s="25" t="s">
        <v>1074</v>
      </c>
      <c r="B842" s="25" t="s">
        <v>406</v>
      </c>
      <c r="C842" s="26" t="n">
        <v>45962</v>
      </c>
      <c r="D842" s="27" t="n">
        <v>1496</v>
      </c>
      <c r="E842" s="28" t="n">
        <v>626.2</v>
      </c>
      <c r="F842" s="29" t="n">
        <v>0.0915</v>
      </c>
      <c r="G842" s="29" t="n">
        <v>0.1669</v>
      </c>
      <c r="H842" s="30" t="n">
        <v>13.19</v>
      </c>
      <c r="I842" s="29" t="n">
        <v>0.0174</v>
      </c>
      <c r="J842" s="29" t="n">
        <v>0.0394</v>
      </c>
      <c r="K842" s="29" t="n">
        <v>0.0468</v>
      </c>
      <c r="L842" s="27" t="n">
        <v>16</v>
      </c>
      <c r="M842" s="27" t="n">
        <v>19518</v>
      </c>
      <c r="N842" s="30" t="n">
        <v>44.61</v>
      </c>
      <c r="O842" s="30" t="n">
        <v>10.01</v>
      </c>
      <c r="P842" s="29" t="n">
        <v>0.0097</v>
      </c>
      <c r="Q842" s="27" t="n">
        <v>404000</v>
      </c>
      <c r="R842" s="27" t="n">
        <v>165368</v>
      </c>
      <c r="S842" s="27" t="n">
        <v>28837</v>
      </c>
      <c r="T842" s="29" t="n">
        <v>0.588</v>
      </c>
      <c r="U842" s="29" t="n">
        <v>0.329</v>
      </c>
      <c r="V842" s="29" t="n">
        <v>0.851</v>
      </c>
      <c r="W842" s="28" t="n">
        <v>12.4</v>
      </c>
    </row>
    <row r="843" customFormat="false" ht="15" hidden="false" customHeight="false" outlineLevel="0" collapsed="false">
      <c r="A843" s="25" t="s">
        <v>1075</v>
      </c>
      <c r="B843" s="25" t="s">
        <v>406</v>
      </c>
      <c r="C843" s="26" t="n">
        <v>45992</v>
      </c>
      <c r="D843" s="27" t="n">
        <v>1557</v>
      </c>
      <c r="E843" s="28" t="n">
        <v>609.1</v>
      </c>
      <c r="F843" s="29" t="n">
        <v>0.0884</v>
      </c>
      <c r="G843" s="29" t="n">
        <v>0.1667</v>
      </c>
      <c r="H843" s="30" t="n">
        <v>13.11</v>
      </c>
      <c r="I843" s="29" t="n">
        <v>0.0163</v>
      </c>
      <c r="J843" s="29" t="n">
        <v>0.0393</v>
      </c>
      <c r="K843" s="29" t="n">
        <v>0.0467</v>
      </c>
      <c r="L843" s="27" t="n">
        <v>16</v>
      </c>
      <c r="M843" s="27" t="n">
        <v>19535</v>
      </c>
      <c r="N843" s="30" t="n">
        <v>44.77</v>
      </c>
      <c r="O843" s="30" t="n">
        <v>9.87</v>
      </c>
      <c r="P843" s="29" t="n">
        <v>0.0103</v>
      </c>
      <c r="Q843" s="27" t="n">
        <v>404000</v>
      </c>
      <c r="R843" s="27" t="n">
        <v>154510</v>
      </c>
      <c r="S843" s="27" t="n">
        <v>29326</v>
      </c>
      <c r="T843" s="29" t="n">
        <v>0.582</v>
      </c>
      <c r="U843" s="29" t="n">
        <v>0.322</v>
      </c>
      <c r="V843" s="29" t="n">
        <v>0.863</v>
      </c>
      <c r="W843" s="28" t="n">
        <v>12.4</v>
      </c>
    </row>
    <row r="844" customFormat="false" ht="15" hidden="false" customHeight="false" outlineLevel="0" collapsed="false">
      <c r="A844" s="25" t="s">
        <v>1076</v>
      </c>
      <c r="B844" s="25" t="s">
        <v>406</v>
      </c>
      <c r="C844" s="26" t="n">
        <v>46023</v>
      </c>
      <c r="D844" s="27" t="n">
        <v>2676</v>
      </c>
      <c r="E844" s="28" t="n">
        <v>617.9</v>
      </c>
      <c r="F844" s="29" t="n">
        <v>0.0859</v>
      </c>
      <c r="G844" s="29" t="n">
        <v>0.1691</v>
      </c>
      <c r="H844" s="30" t="n">
        <v>12.88</v>
      </c>
      <c r="I844" s="29" t="n">
        <v>0.0173</v>
      </c>
      <c r="J844" s="29" t="n">
        <v>0.0394</v>
      </c>
      <c r="K844" s="29" t="n">
        <v>0.0437</v>
      </c>
      <c r="L844" s="27" t="n">
        <v>16</v>
      </c>
      <c r="M844" s="27" t="n">
        <v>19553</v>
      </c>
      <c r="N844" s="30" t="n">
        <v>43.75</v>
      </c>
      <c r="O844" s="30" t="n">
        <v>9.75</v>
      </c>
      <c r="P844" s="29" t="n">
        <v>0.0098</v>
      </c>
      <c r="Q844" s="27" t="n">
        <v>404000</v>
      </c>
      <c r="R844" s="27" t="n">
        <v>165833</v>
      </c>
      <c r="S844" s="27" t="n">
        <v>45854</v>
      </c>
      <c r="T844" s="29" t="n">
        <v>0.606</v>
      </c>
      <c r="U844" s="29" t="n">
        <v>0.321</v>
      </c>
      <c r="V844" s="29" t="n">
        <v>0.854</v>
      </c>
      <c r="W844" s="28" t="n">
        <v>11.9</v>
      </c>
    </row>
    <row r="845" customFormat="false" ht="15" hidden="false" customHeight="false" outlineLevel="0" collapsed="false">
      <c r="A845" s="25" t="s">
        <v>1077</v>
      </c>
      <c r="B845" s="25" t="s">
        <v>406</v>
      </c>
      <c r="C845" s="26" t="n">
        <v>46054</v>
      </c>
      <c r="D845" s="27" t="n">
        <v>3459</v>
      </c>
      <c r="E845" s="28" t="n">
        <v>613.3</v>
      </c>
      <c r="F845" s="29" t="n">
        <v>0.0845</v>
      </c>
      <c r="G845" s="29" t="n">
        <v>0.1704</v>
      </c>
      <c r="H845" s="30" t="n">
        <v>12.96</v>
      </c>
      <c r="I845" s="29" t="n">
        <v>0.0165</v>
      </c>
      <c r="J845" s="29" t="n">
        <v>0.0383</v>
      </c>
      <c r="K845" s="29" t="n">
        <v>0.0436</v>
      </c>
      <c r="L845" s="27" t="n">
        <v>16</v>
      </c>
      <c r="M845" s="27" t="n">
        <v>19571</v>
      </c>
      <c r="N845" s="30" t="n">
        <v>44.5</v>
      </c>
      <c r="O845" s="30" t="n">
        <v>9.94</v>
      </c>
      <c r="P845" s="29" t="n">
        <v>0.0098</v>
      </c>
      <c r="Q845" s="27" t="n">
        <v>404000</v>
      </c>
      <c r="R845" s="27" t="n">
        <v>164490</v>
      </c>
      <c r="S845" s="27" t="n">
        <v>53105</v>
      </c>
      <c r="T845" s="29" t="n">
        <v>0.651</v>
      </c>
      <c r="U845" s="29" t="n">
        <v>0.327</v>
      </c>
      <c r="V845" s="29" t="n">
        <v>0.862</v>
      </c>
      <c r="W845" s="28" t="n">
        <v>12.3</v>
      </c>
    </row>
    <row r="846" customFormat="false" ht="15" hidden="false" customHeight="false" outlineLevel="0" collapsed="false">
      <c r="A846" s="25" t="s">
        <v>1078</v>
      </c>
      <c r="B846" s="25" t="s">
        <v>406</v>
      </c>
      <c r="C846" s="26" t="n">
        <v>46082</v>
      </c>
      <c r="D846" s="27" t="n">
        <v>5063</v>
      </c>
      <c r="E846" s="28" t="n">
        <v>623.9</v>
      </c>
      <c r="F846" s="29" t="n">
        <v>0.0805</v>
      </c>
      <c r="G846" s="29" t="n">
        <v>0.1663</v>
      </c>
      <c r="H846" s="30" t="n">
        <v>12.38</v>
      </c>
      <c r="I846" s="29" t="n">
        <v>0.0184</v>
      </c>
      <c r="J846" s="29" t="n">
        <v>0.0383</v>
      </c>
      <c r="K846" s="29" t="n">
        <v>0.0424</v>
      </c>
      <c r="L846" s="27" t="n">
        <v>16</v>
      </c>
      <c r="M846" s="27" t="n">
        <v>19589</v>
      </c>
      <c r="N846" s="30" t="n">
        <v>42.73</v>
      </c>
      <c r="O846" s="30" t="n">
        <v>9.93</v>
      </c>
      <c r="P846" s="29" t="n">
        <v>0.0096</v>
      </c>
      <c r="Q846" s="27" t="n">
        <v>404000</v>
      </c>
      <c r="R846" s="27" t="n">
        <v>171347</v>
      </c>
      <c r="S846" s="27" t="n">
        <v>73459</v>
      </c>
      <c r="T846" s="29" t="n">
        <v>0.642</v>
      </c>
      <c r="U846" s="29" t="n">
        <v>0.328</v>
      </c>
      <c r="V846" s="29" t="n">
        <v>0.864</v>
      </c>
      <c r="W846" s="28" t="n">
        <v>12.7</v>
      </c>
    </row>
    <row r="847" customFormat="false" ht="15" hidden="false" customHeight="false" outlineLevel="0" collapsed="false">
      <c r="A847" s="25" t="s">
        <v>1079</v>
      </c>
      <c r="B847" s="25" t="s">
        <v>406</v>
      </c>
      <c r="C847" s="26" t="n">
        <v>46113</v>
      </c>
      <c r="D847" s="27" t="n">
        <v>5902</v>
      </c>
      <c r="E847" s="28" t="n">
        <v>620.4</v>
      </c>
      <c r="F847" s="29" t="n">
        <v>0.08</v>
      </c>
      <c r="G847" s="29" t="n">
        <v>0.1698</v>
      </c>
      <c r="H847" s="30" t="n">
        <v>12.3</v>
      </c>
      <c r="I847" s="29" t="n">
        <v>0.0175</v>
      </c>
      <c r="J847" s="29" t="n">
        <v>0.0374</v>
      </c>
      <c r="K847" s="29" t="n">
        <v>0.0494</v>
      </c>
      <c r="L847" s="27" t="n">
        <v>16</v>
      </c>
      <c r="M847" s="27" t="n">
        <v>19606</v>
      </c>
      <c r="N847" s="30" t="n">
        <v>43.52</v>
      </c>
      <c r="O847" s="30" t="n">
        <v>9.61</v>
      </c>
      <c r="P847" s="29" t="n">
        <v>0.0103</v>
      </c>
      <c r="Q847" s="27" t="n">
        <v>404000</v>
      </c>
      <c r="R847" s="27" t="n">
        <v>162156</v>
      </c>
      <c r="S847" s="27" t="n">
        <v>76086</v>
      </c>
      <c r="T847" s="29" t="n">
        <v>0.667</v>
      </c>
      <c r="U847" s="29" t="n">
        <v>0.327</v>
      </c>
      <c r="V847" s="29" t="n">
        <v>0.856</v>
      </c>
      <c r="W847" s="28" t="n">
        <v>11.5</v>
      </c>
    </row>
    <row r="848" customFormat="false" ht="15" hidden="false" customHeight="false" outlineLevel="0" collapsed="false">
      <c r="A848" s="25" t="s">
        <v>1080</v>
      </c>
      <c r="B848" s="25" t="s">
        <v>406</v>
      </c>
      <c r="C848" s="26" t="n">
        <v>46143</v>
      </c>
      <c r="D848" s="27" t="n">
        <v>7701</v>
      </c>
      <c r="E848" s="28" t="n">
        <v>613.4</v>
      </c>
      <c r="F848" s="29" t="n">
        <v>0.0715</v>
      </c>
      <c r="G848" s="29" t="n">
        <v>0.1678</v>
      </c>
      <c r="H848" s="30" t="n">
        <v>13.29</v>
      </c>
      <c r="I848" s="29" t="n">
        <v>0.0194</v>
      </c>
      <c r="J848" s="29" t="n">
        <v>0.0368</v>
      </c>
      <c r="K848" s="29" t="n">
        <v>0.0516</v>
      </c>
      <c r="L848" s="27" t="n">
        <v>16</v>
      </c>
      <c r="M848" s="27" t="n">
        <v>19624</v>
      </c>
      <c r="N848" s="30" t="n">
        <v>41.97</v>
      </c>
      <c r="O848" s="30" t="n">
        <v>9.82</v>
      </c>
      <c r="P848" s="29" t="n">
        <v>0.0102</v>
      </c>
      <c r="Q848" s="27" t="n">
        <v>404000</v>
      </c>
      <c r="R848" s="27" t="n">
        <v>163278</v>
      </c>
      <c r="S848" s="27" t="n">
        <v>92620</v>
      </c>
      <c r="T848" s="29" t="n">
        <v>0.708</v>
      </c>
      <c r="U848" s="29" t="n">
        <v>0.317</v>
      </c>
      <c r="V848" s="29" t="n">
        <v>0.848</v>
      </c>
      <c r="W848" s="28" t="n">
        <v>12.3</v>
      </c>
    </row>
    <row r="849" customFormat="false" ht="15" hidden="false" customHeight="false" outlineLevel="0" collapsed="false">
      <c r="A849" s="25" t="s">
        <v>1081</v>
      </c>
      <c r="B849" s="25" t="s">
        <v>406</v>
      </c>
      <c r="C849" s="26" t="n">
        <v>46174</v>
      </c>
      <c r="D849" s="27" t="n">
        <v>8495</v>
      </c>
      <c r="E849" s="28" t="n">
        <v>606.4</v>
      </c>
      <c r="F849" s="29" t="n">
        <v>0.0726</v>
      </c>
      <c r="G849" s="29" t="n">
        <v>0.1697</v>
      </c>
      <c r="H849" s="30" t="n">
        <v>13.36</v>
      </c>
      <c r="I849" s="29" t="n">
        <v>0.0179</v>
      </c>
      <c r="J849" s="29" t="n">
        <v>0.0357</v>
      </c>
      <c r="K849" s="29" t="n">
        <v>0.0457</v>
      </c>
      <c r="L849" s="27" t="n">
        <v>16</v>
      </c>
      <c r="M849" s="27" t="n">
        <v>19642</v>
      </c>
      <c r="N849" s="30" t="n">
        <v>42.86</v>
      </c>
      <c r="O849" s="30" t="n">
        <v>9.96</v>
      </c>
      <c r="P849" s="29" t="n">
        <v>0.0096</v>
      </c>
      <c r="Q849" s="27" t="n">
        <v>404000</v>
      </c>
      <c r="R849" s="27" t="n">
        <v>164895</v>
      </c>
      <c r="S849" s="27" t="n">
        <v>93910</v>
      </c>
      <c r="T849" s="29" t="n">
        <v>0.7</v>
      </c>
      <c r="U849" s="29" t="n">
        <v>0.324</v>
      </c>
      <c r="V849" s="29" t="n">
        <v>0.852</v>
      </c>
      <c r="W849" s="28" t="n">
        <v>12.6</v>
      </c>
    </row>
    <row r="850" customFormat="false" ht="15" hidden="false" customHeight="false" outlineLevel="0" collapsed="false">
      <c r="A850" s="25" t="s">
        <v>1082</v>
      </c>
      <c r="B850" s="25" t="s">
        <v>406</v>
      </c>
      <c r="C850" s="26" t="n">
        <v>46204</v>
      </c>
      <c r="D850" s="27" t="n">
        <v>8656</v>
      </c>
      <c r="E850" s="28" t="n">
        <v>618.7</v>
      </c>
      <c r="F850" s="29" t="n">
        <v>0.0702</v>
      </c>
      <c r="G850" s="29" t="n">
        <v>0.1731</v>
      </c>
      <c r="H850" s="30" t="n">
        <v>12.9</v>
      </c>
      <c r="I850" s="29" t="n">
        <v>0.0198</v>
      </c>
      <c r="J850" s="29" t="n">
        <v>0.0362</v>
      </c>
      <c r="K850" s="29" t="n">
        <v>0.0451</v>
      </c>
      <c r="L850" s="27" t="n">
        <v>16</v>
      </c>
      <c r="M850" s="27" t="n">
        <v>19660</v>
      </c>
      <c r="N850" s="30" t="n">
        <v>41.69</v>
      </c>
      <c r="O850" s="30" t="n">
        <v>9.75</v>
      </c>
      <c r="P850" s="29" t="n">
        <v>0.0102</v>
      </c>
      <c r="Q850" s="27" t="n">
        <v>404000</v>
      </c>
      <c r="R850" s="27" t="n">
        <v>161740</v>
      </c>
      <c r="S850" s="27" t="n">
        <v>88778</v>
      </c>
      <c r="T850" s="29" t="n">
        <v>0.711</v>
      </c>
      <c r="U850" s="29" t="n">
        <v>0.324</v>
      </c>
      <c r="V850" s="29" t="n">
        <v>0.858</v>
      </c>
      <c r="W850" s="28" t="n">
        <v>12.7</v>
      </c>
    </row>
    <row r="851" customFormat="false" ht="15" hidden="false" customHeight="false" outlineLevel="0" collapsed="false">
      <c r="A851" s="25" t="s">
        <v>1083</v>
      </c>
      <c r="B851" s="25" t="s">
        <v>406</v>
      </c>
      <c r="C851" s="26" t="n">
        <v>46235</v>
      </c>
      <c r="D851" s="27" t="n">
        <v>9053</v>
      </c>
      <c r="E851" s="28" t="n">
        <v>617.2</v>
      </c>
      <c r="F851" s="29" t="n">
        <v>0.0689</v>
      </c>
      <c r="G851" s="29" t="n">
        <v>0.1697</v>
      </c>
      <c r="H851" s="30" t="n">
        <v>13.02</v>
      </c>
      <c r="I851" s="29" t="n">
        <v>0.0191</v>
      </c>
      <c r="J851" s="29" t="n">
        <v>0.0342</v>
      </c>
      <c r="K851" s="29" t="n">
        <v>0.0456</v>
      </c>
      <c r="L851" s="27" t="n">
        <v>16</v>
      </c>
      <c r="M851" s="27" t="n">
        <v>19677</v>
      </c>
      <c r="N851" s="30" t="n">
        <v>42.28</v>
      </c>
      <c r="O851" s="30" t="n">
        <v>9.7</v>
      </c>
      <c r="P851" s="29" t="n">
        <v>0.01</v>
      </c>
      <c r="Q851" s="27" t="n">
        <v>404000</v>
      </c>
      <c r="R851" s="27" t="n">
        <v>152925</v>
      </c>
      <c r="S851" s="27" t="n">
        <v>86273</v>
      </c>
      <c r="T851" s="29" t="n">
        <v>0.729</v>
      </c>
      <c r="U851" s="29" t="n">
        <v>0.303</v>
      </c>
      <c r="V851" s="29" t="n">
        <v>0.847</v>
      </c>
      <c r="W851" s="28" t="n">
        <v>12.5</v>
      </c>
    </row>
    <row r="852" customFormat="false" ht="15" hidden="false" customHeight="false" outlineLevel="0" collapsed="false">
      <c r="A852" s="25" t="s">
        <v>1084</v>
      </c>
      <c r="B852" s="25" t="s">
        <v>406</v>
      </c>
      <c r="C852" s="26" t="n">
        <v>46266</v>
      </c>
      <c r="D852" s="27" t="n">
        <v>9875</v>
      </c>
      <c r="E852" s="28" t="n">
        <v>623.7</v>
      </c>
      <c r="F852" s="29" t="n">
        <v>0.0692</v>
      </c>
      <c r="G852" s="29" t="n">
        <v>0.1719</v>
      </c>
      <c r="H852" s="30" t="n">
        <v>12.87</v>
      </c>
      <c r="I852" s="29" t="n">
        <v>0.0192</v>
      </c>
      <c r="J852" s="29" t="n">
        <v>0.0333</v>
      </c>
      <c r="K852" s="29" t="n">
        <v>0.0434</v>
      </c>
      <c r="L852" s="27" t="n">
        <v>16</v>
      </c>
      <c r="M852" s="27" t="n">
        <v>19695</v>
      </c>
      <c r="N852" s="30" t="n">
        <v>42.09</v>
      </c>
      <c r="O852" s="30" t="n">
        <v>9.57</v>
      </c>
      <c r="P852" s="29" t="n">
        <v>0.0099</v>
      </c>
      <c r="Q852" s="27" t="n">
        <v>404000</v>
      </c>
      <c r="R852" s="27" t="n">
        <v>164902</v>
      </c>
      <c r="S852" s="27" t="n">
        <v>90386</v>
      </c>
      <c r="T852" s="29" t="n">
        <v>0.77</v>
      </c>
      <c r="U852" s="29" t="n">
        <v>0.323</v>
      </c>
      <c r="V852" s="29" t="n">
        <v>0.862</v>
      </c>
      <c r="W852" s="28" t="n">
        <v>11.9</v>
      </c>
    </row>
    <row r="853" customFormat="false" ht="15" hidden="false" customHeight="false" outlineLevel="0" collapsed="false">
      <c r="A853" s="25" t="s">
        <v>1085</v>
      </c>
      <c r="B853" s="25" t="s">
        <v>409</v>
      </c>
      <c r="C853" s="26" t="n">
        <v>45931</v>
      </c>
      <c r="D853" s="27" t="n">
        <v>30992</v>
      </c>
      <c r="E853" s="28" t="n">
        <v>572.8</v>
      </c>
      <c r="F853" s="29" t="n">
        <v>0.0668</v>
      </c>
      <c r="G853" s="29" t="n">
        <v>0.1703</v>
      </c>
      <c r="H853" s="30" t="n">
        <v>11.33</v>
      </c>
      <c r="I853" s="29" t="n">
        <v>0.0293</v>
      </c>
      <c r="J853" s="29" t="n">
        <v>0.0213</v>
      </c>
      <c r="K853" s="29" t="n">
        <v>0.038</v>
      </c>
      <c r="L853" s="27" t="n">
        <v>22</v>
      </c>
      <c r="M853" s="27" t="n">
        <v>16000</v>
      </c>
      <c r="N853" s="30" t="n">
        <v>29.24</v>
      </c>
      <c r="O853" s="30" t="n">
        <v>8.77</v>
      </c>
      <c r="P853" s="29" t="n">
        <v>0.01</v>
      </c>
      <c r="Q853" s="27" t="n">
        <v>264000</v>
      </c>
      <c r="R853" s="27" t="n">
        <v>157310</v>
      </c>
      <c r="S853" s="27" t="n">
        <v>175988</v>
      </c>
      <c r="T853" s="29" t="n">
        <v>0.777</v>
      </c>
      <c r="U853" s="29" t="n">
        <v>0.27</v>
      </c>
      <c r="V853" s="29" t="n">
        <v>0.868</v>
      </c>
      <c r="W853" s="28" t="n">
        <v>11.8</v>
      </c>
    </row>
    <row r="854" customFormat="false" ht="15" hidden="false" customHeight="false" outlineLevel="0" collapsed="false">
      <c r="A854" s="25" t="s">
        <v>1086</v>
      </c>
      <c r="B854" s="25" t="s">
        <v>409</v>
      </c>
      <c r="C854" s="26" t="n">
        <v>45962</v>
      </c>
      <c r="D854" s="27" t="n">
        <v>29423</v>
      </c>
      <c r="E854" s="28" t="n">
        <v>586.6</v>
      </c>
      <c r="F854" s="29" t="n">
        <v>0.0637</v>
      </c>
      <c r="G854" s="29" t="n">
        <v>0.1735</v>
      </c>
      <c r="H854" s="30" t="n">
        <v>12.16</v>
      </c>
      <c r="I854" s="29" t="n">
        <v>0.0308</v>
      </c>
      <c r="J854" s="29" t="n">
        <v>0.0197</v>
      </c>
      <c r="K854" s="29" t="n">
        <v>0.0364</v>
      </c>
      <c r="L854" s="27" t="n">
        <v>23</v>
      </c>
      <c r="M854" s="27" t="n">
        <v>16015</v>
      </c>
      <c r="N854" s="30" t="n">
        <v>29.61</v>
      </c>
      <c r="O854" s="30" t="n">
        <v>8.79</v>
      </c>
      <c r="P854" s="29" t="n">
        <v>0.0102</v>
      </c>
      <c r="Q854" s="27" t="n">
        <v>264000</v>
      </c>
      <c r="R854" s="27" t="n">
        <v>162571</v>
      </c>
      <c r="S854" s="27" t="n">
        <v>172434</v>
      </c>
      <c r="T854" s="29" t="n">
        <v>0.787</v>
      </c>
      <c r="U854" s="29" t="n">
        <v>0.278</v>
      </c>
      <c r="V854" s="29" t="n">
        <v>0.873</v>
      </c>
      <c r="W854" s="28" t="n">
        <v>12.1</v>
      </c>
    </row>
    <row r="855" customFormat="false" ht="15" hidden="false" customHeight="false" outlineLevel="0" collapsed="false">
      <c r="A855" s="25" t="s">
        <v>1087</v>
      </c>
      <c r="B855" s="25" t="s">
        <v>409</v>
      </c>
      <c r="C855" s="26" t="n">
        <v>45992</v>
      </c>
      <c r="D855" s="27" t="n">
        <v>31453</v>
      </c>
      <c r="E855" s="28" t="n">
        <v>581.7</v>
      </c>
      <c r="F855" s="29" t="n">
        <v>0.0667</v>
      </c>
      <c r="G855" s="29" t="n">
        <v>0.1729</v>
      </c>
      <c r="H855" s="30" t="n">
        <v>12.28</v>
      </c>
      <c r="I855" s="29" t="n">
        <v>0.0271</v>
      </c>
      <c r="J855" s="29" t="n">
        <v>0.0202</v>
      </c>
      <c r="K855" s="29" t="n">
        <v>0.039</v>
      </c>
      <c r="L855" s="27" t="n">
        <v>21</v>
      </c>
      <c r="M855" s="27" t="n">
        <v>16029</v>
      </c>
      <c r="N855" s="30" t="n">
        <v>28.72</v>
      </c>
      <c r="O855" s="30" t="n">
        <v>8.8</v>
      </c>
      <c r="P855" s="29" t="n">
        <v>0.0102</v>
      </c>
      <c r="Q855" s="27" t="n">
        <v>264000</v>
      </c>
      <c r="R855" s="27" t="n">
        <v>172139</v>
      </c>
      <c r="S855" s="27" t="n">
        <v>167454</v>
      </c>
      <c r="T855" s="29" t="n">
        <v>0.801</v>
      </c>
      <c r="U855" s="29" t="n">
        <v>0.284</v>
      </c>
      <c r="V855" s="29" t="n">
        <v>0.887</v>
      </c>
      <c r="W855" s="28" t="n">
        <v>11.5</v>
      </c>
    </row>
    <row r="856" customFormat="false" ht="15" hidden="false" customHeight="false" outlineLevel="0" collapsed="false">
      <c r="A856" s="25" t="s">
        <v>1088</v>
      </c>
      <c r="B856" s="25" t="s">
        <v>409</v>
      </c>
      <c r="C856" s="26" t="n">
        <v>46023</v>
      </c>
      <c r="D856" s="27" t="n">
        <v>34258</v>
      </c>
      <c r="E856" s="28" t="n">
        <v>574.5</v>
      </c>
      <c r="F856" s="29" t="n">
        <v>0.0628</v>
      </c>
      <c r="G856" s="29" t="n">
        <v>0.1687</v>
      </c>
      <c r="H856" s="30" t="n">
        <v>12.11</v>
      </c>
      <c r="I856" s="29" t="n">
        <v>0.0286</v>
      </c>
      <c r="J856" s="29" t="n">
        <v>0.0207</v>
      </c>
      <c r="K856" s="29" t="n">
        <v>0.0403</v>
      </c>
      <c r="L856" s="27" t="n">
        <v>22</v>
      </c>
      <c r="M856" s="27" t="n">
        <v>16044</v>
      </c>
      <c r="N856" s="30" t="n">
        <v>29.72</v>
      </c>
      <c r="O856" s="30" t="n">
        <v>8.52</v>
      </c>
      <c r="P856" s="29" t="n">
        <v>0.0101</v>
      </c>
      <c r="Q856" s="27" t="n">
        <v>264000</v>
      </c>
      <c r="R856" s="27" t="n">
        <v>178585</v>
      </c>
      <c r="S856" s="27" t="n">
        <v>183999</v>
      </c>
      <c r="T856" s="29" t="n">
        <v>0.801</v>
      </c>
      <c r="U856" s="29" t="n">
        <v>0.274</v>
      </c>
      <c r="V856" s="29" t="n">
        <v>0.859</v>
      </c>
      <c r="W856" s="28" t="n">
        <v>12.2</v>
      </c>
    </row>
    <row r="857" customFormat="false" ht="15" hidden="false" customHeight="false" outlineLevel="0" collapsed="false">
      <c r="A857" s="25" t="s">
        <v>1089</v>
      </c>
      <c r="B857" s="25" t="s">
        <v>409</v>
      </c>
      <c r="C857" s="26" t="n">
        <v>46054</v>
      </c>
      <c r="D857" s="27" t="n">
        <v>28303</v>
      </c>
      <c r="E857" s="28" t="n">
        <v>571.5</v>
      </c>
      <c r="F857" s="29" t="n">
        <v>0.0647</v>
      </c>
      <c r="G857" s="29" t="n">
        <v>0.1751</v>
      </c>
      <c r="H857" s="30" t="n">
        <v>11.65</v>
      </c>
      <c r="I857" s="29" t="n">
        <v>0.0273</v>
      </c>
      <c r="J857" s="29" t="n">
        <v>0.021</v>
      </c>
      <c r="K857" s="29" t="n">
        <v>0.0448</v>
      </c>
      <c r="L857" s="27" t="n">
        <v>21</v>
      </c>
      <c r="M857" s="27" t="n">
        <v>16058</v>
      </c>
      <c r="N857" s="30" t="n">
        <v>28.48</v>
      </c>
      <c r="O857" s="30" t="n">
        <v>8.93</v>
      </c>
      <c r="P857" s="29" t="n">
        <v>0.0102</v>
      </c>
      <c r="Q857" s="27" t="n">
        <v>264000</v>
      </c>
      <c r="R857" s="27" t="n">
        <v>169671</v>
      </c>
      <c r="S857" s="27" t="n">
        <v>148410</v>
      </c>
      <c r="T857" s="29" t="n">
        <v>0.785</v>
      </c>
      <c r="U857" s="29" t="n">
        <v>0.286</v>
      </c>
      <c r="V857" s="29" t="n">
        <v>0.861</v>
      </c>
      <c r="W857" s="28" t="n">
        <v>12.4</v>
      </c>
    </row>
    <row r="858" customFormat="false" ht="15" hidden="false" customHeight="false" outlineLevel="0" collapsed="false">
      <c r="A858" s="25" t="s">
        <v>1090</v>
      </c>
      <c r="B858" s="25" t="s">
        <v>409</v>
      </c>
      <c r="C858" s="26" t="n">
        <v>46082</v>
      </c>
      <c r="D858" s="27" t="n">
        <v>34795</v>
      </c>
      <c r="E858" s="28" t="n">
        <v>584.9</v>
      </c>
      <c r="F858" s="29" t="n">
        <v>0.0631</v>
      </c>
      <c r="G858" s="29" t="n">
        <v>0.1741</v>
      </c>
      <c r="H858" s="30" t="n">
        <v>12</v>
      </c>
      <c r="I858" s="29" t="n">
        <v>0.0293</v>
      </c>
      <c r="J858" s="29" t="n">
        <v>0.02</v>
      </c>
      <c r="K858" s="29" t="n">
        <v>0.0374</v>
      </c>
      <c r="L858" s="27" t="n">
        <v>25</v>
      </c>
      <c r="M858" s="27" t="n">
        <v>16073</v>
      </c>
      <c r="N858" s="30" t="n">
        <v>28.7</v>
      </c>
      <c r="O858" s="30" t="n">
        <v>8.88</v>
      </c>
      <c r="P858" s="29" t="n">
        <v>0.0101</v>
      </c>
      <c r="Q858" s="27" t="n">
        <v>264000</v>
      </c>
      <c r="R858" s="27" t="n">
        <v>161401</v>
      </c>
      <c r="S858" s="27" t="n">
        <v>184344</v>
      </c>
      <c r="T858" s="29" t="n">
        <v>0.789</v>
      </c>
      <c r="U858" s="29" t="n">
        <v>0.267</v>
      </c>
      <c r="V858" s="29" t="n">
        <v>0.874</v>
      </c>
      <c r="W858" s="28" t="n">
        <v>11.9</v>
      </c>
    </row>
    <row r="859" customFormat="false" ht="15" hidden="false" customHeight="false" outlineLevel="0" collapsed="false">
      <c r="A859" s="25" t="s">
        <v>1091</v>
      </c>
      <c r="B859" s="25" t="s">
        <v>409</v>
      </c>
      <c r="C859" s="26" t="n">
        <v>46113</v>
      </c>
      <c r="D859" s="27" t="n">
        <v>33623</v>
      </c>
      <c r="E859" s="28" t="n">
        <v>581.2</v>
      </c>
      <c r="F859" s="29" t="n">
        <v>0.0619</v>
      </c>
      <c r="G859" s="29" t="n">
        <v>0.1713</v>
      </c>
      <c r="H859" s="30" t="n">
        <v>11.62</v>
      </c>
      <c r="I859" s="29" t="n">
        <v>0.0308</v>
      </c>
      <c r="J859" s="29" t="n">
        <v>0.0205</v>
      </c>
      <c r="K859" s="29" t="n">
        <v>0.0416</v>
      </c>
      <c r="L859" s="27" t="n">
        <v>24</v>
      </c>
      <c r="M859" s="27" t="n">
        <v>16087</v>
      </c>
      <c r="N859" s="30" t="n">
        <v>29.17</v>
      </c>
      <c r="O859" s="30" t="n">
        <v>8.86</v>
      </c>
      <c r="P859" s="29" t="n">
        <v>0.0099</v>
      </c>
      <c r="Q859" s="27" t="n">
        <v>264000</v>
      </c>
      <c r="R859" s="27" t="n">
        <v>151068</v>
      </c>
      <c r="S859" s="27" t="n">
        <v>178211</v>
      </c>
      <c r="T859" s="29" t="n">
        <v>0.81</v>
      </c>
      <c r="U859" s="29" t="n">
        <v>0.277</v>
      </c>
      <c r="V859" s="29" t="n">
        <v>0.86</v>
      </c>
      <c r="W859" s="28" t="n">
        <v>11.7</v>
      </c>
    </row>
    <row r="860" customFormat="false" ht="15" hidden="false" customHeight="false" outlineLevel="0" collapsed="false">
      <c r="A860" s="25" t="s">
        <v>1092</v>
      </c>
      <c r="B860" s="25" t="s">
        <v>409</v>
      </c>
      <c r="C860" s="26" t="n">
        <v>46143</v>
      </c>
      <c r="D860" s="27" t="n">
        <v>36424</v>
      </c>
      <c r="E860" s="28" t="n">
        <v>587.1</v>
      </c>
      <c r="F860" s="29" t="n">
        <v>0.0616</v>
      </c>
      <c r="G860" s="29" t="n">
        <v>0.1724</v>
      </c>
      <c r="H860" s="30" t="n">
        <v>12.45</v>
      </c>
      <c r="I860" s="29" t="n">
        <v>0.0275</v>
      </c>
      <c r="J860" s="29" t="n">
        <v>0.0215</v>
      </c>
      <c r="K860" s="29" t="n">
        <v>0.0322</v>
      </c>
      <c r="L860" s="27" t="n">
        <v>25</v>
      </c>
      <c r="M860" s="27" t="n">
        <v>16102</v>
      </c>
      <c r="N860" s="30" t="n">
        <v>29.34</v>
      </c>
      <c r="O860" s="30" t="n">
        <v>8.73</v>
      </c>
      <c r="P860" s="29" t="n">
        <v>0.0098</v>
      </c>
      <c r="Q860" s="27" t="n">
        <v>264000</v>
      </c>
      <c r="R860" s="27" t="n">
        <v>157456</v>
      </c>
      <c r="S860" s="27" t="n">
        <v>165920</v>
      </c>
      <c r="T860" s="29" t="n">
        <v>0.778</v>
      </c>
      <c r="U860" s="29" t="n">
        <v>0.271</v>
      </c>
      <c r="V860" s="29" t="n">
        <v>0.869</v>
      </c>
      <c r="W860" s="28" t="n">
        <v>12.2</v>
      </c>
    </row>
    <row r="861" customFormat="false" ht="15" hidden="false" customHeight="false" outlineLevel="0" collapsed="false">
      <c r="A861" s="25" t="s">
        <v>1093</v>
      </c>
      <c r="B861" s="25" t="s">
        <v>409</v>
      </c>
      <c r="C861" s="26" t="n">
        <v>46174</v>
      </c>
      <c r="D861" s="27" t="n">
        <v>35708</v>
      </c>
      <c r="E861" s="28" t="n">
        <v>566.7</v>
      </c>
      <c r="F861" s="29" t="n">
        <v>0.0657</v>
      </c>
      <c r="G861" s="29" t="n">
        <v>0.1701</v>
      </c>
      <c r="H861" s="30" t="n">
        <v>12.35</v>
      </c>
      <c r="I861" s="29" t="n">
        <v>0.0333</v>
      </c>
      <c r="J861" s="29" t="n">
        <v>0.0203</v>
      </c>
      <c r="K861" s="29" t="n">
        <v>0.0376</v>
      </c>
      <c r="L861" s="27" t="n">
        <v>25</v>
      </c>
      <c r="M861" s="27" t="n">
        <v>16116</v>
      </c>
      <c r="N861" s="30" t="n">
        <v>29.54</v>
      </c>
      <c r="O861" s="30" t="n">
        <v>8.38</v>
      </c>
      <c r="P861" s="29" t="n">
        <v>0.0105</v>
      </c>
      <c r="Q861" s="27" t="n">
        <v>264000</v>
      </c>
      <c r="R861" s="27" t="n">
        <v>159112</v>
      </c>
      <c r="S861" s="27" t="n">
        <v>137033</v>
      </c>
      <c r="T861" s="29" t="n">
        <v>0.818</v>
      </c>
      <c r="U861" s="29" t="n">
        <v>0.275</v>
      </c>
      <c r="V861" s="29" t="n">
        <v>0.859</v>
      </c>
      <c r="W861" s="28" t="n">
        <v>12.3</v>
      </c>
    </row>
    <row r="862" customFormat="false" ht="15" hidden="false" customHeight="false" outlineLevel="0" collapsed="false">
      <c r="A862" s="25" t="s">
        <v>1094</v>
      </c>
      <c r="B862" s="25" t="s">
        <v>409</v>
      </c>
      <c r="C862" s="26" t="n">
        <v>46204</v>
      </c>
      <c r="D862" s="27" t="n">
        <v>35928</v>
      </c>
      <c r="E862" s="28" t="n">
        <v>576.3</v>
      </c>
      <c r="F862" s="29" t="n">
        <v>0.063</v>
      </c>
      <c r="G862" s="29" t="n">
        <v>0.1683</v>
      </c>
      <c r="H862" s="30" t="n">
        <v>12.25</v>
      </c>
      <c r="I862" s="29" t="n">
        <v>0.0293</v>
      </c>
      <c r="J862" s="29" t="n">
        <v>0.0211</v>
      </c>
      <c r="K862" s="29" t="n">
        <v>0.042</v>
      </c>
      <c r="L862" s="27" t="n">
        <v>26</v>
      </c>
      <c r="M862" s="27" t="n">
        <v>16131</v>
      </c>
      <c r="N862" s="30" t="n">
        <v>29.23</v>
      </c>
      <c r="O862" s="30" t="n">
        <v>8.63</v>
      </c>
      <c r="P862" s="29" t="n">
        <v>0.0096</v>
      </c>
      <c r="Q862" s="27" t="n">
        <v>264000</v>
      </c>
      <c r="R862" s="27" t="n">
        <v>166966</v>
      </c>
      <c r="S862" s="27" t="n">
        <v>179573</v>
      </c>
      <c r="T862" s="29" t="n">
        <v>0.776</v>
      </c>
      <c r="U862" s="29" t="n">
        <v>0.269</v>
      </c>
      <c r="V862" s="29" t="n">
        <v>0.853</v>
      </c>
      <c r="W862" s="28" t="n">
        <v>12.1</v>
      </c>
    </row>
    <row r="863" customFormat="false" ht="15" hidden="false" customHeight="false" outlineLevel="0" collapsed="false">
      <c r="A863" s="25" t="s">
        <v>1095</v>
      </c>
      <c r="B863" s="25" t="s">
        <v>409</v>
      </c>
      <c r="C863" s="26" t="n">
        <v>46235</v>
      </c>
      <c r="D863" s="27" t="n">
        <v>37142</v>
      </c>
      <c r="E863" s="28" t="n">
        <v>574.4</v>
      </c>
      <c r="F863" s="29" t="n">
        <v>0.0622</v>
      </c>
      <c r="G863" s="29" t="n">
        <v>0.1692</v>
      </c>
      <c r="H863" s="30" t="n">
        <v>11.95</v>
      </c>
      <c r="I863" s="29" t="n">
        <v>0.03</v>
      </c>
      <c r="J863" s="29" t="n">
        <v>0.021</v>
      </c>
      <c r="K863" s="29" t="n">
        <v>0.0403</v>
      </c>
      <c r="L863" s="27" t="n">
        <v>26</v>
      </c>
      <c r="M863" s="27" t="n">
        <v>16145</v>
      </c>
      <c r="N863" s="30" t="n">
        <v>29.94</v>
      </c>
      <c r="O863" s="30" t="n">
        <v>9.06</v>
      </c>
      <c r="P863" s="29" t="n">
        <v>0.0096</v>
      </c>
      <c r="Q863" s="27" t="n">
        <v>264000</v>
      </c>
      <c r="R863" s="27" t="n">
        <v>173815</v>
      </c>
      <c r="S863" s="27" t="n">
        <v>161645</v>
      </c>
      <c r="T863" s="29" t="n">
        <v>0.811</v>
      </c>
      <c r="U863" s="29" t="n">
        <v>0.302</v>
      </c>
      <c r="V863" s="29" t="n">
        <v>0.867</v>
      </c>
      <c r="W863" s="28" t="n">
        <v>12.6</v>
      </c>
    </row>
    <row r="864" customFormat="false" ht="15" hidden="false" customHeight="false" outlineLevel="0" collapsed="false">
      <c r="A864" s="25" t="s">
        <v>1096</v>
      </c>
      <c r="B864" s="25" t="s">
        <v>409</v>
      </c>
      <c r="C864" s="26" t="n">
        <v>46266</v>
      </c>
      <c r="D864" s="27" t="n">
        <v>35754</v>
      </c>
      <c r="E864" s="28" t="n">
        <v>569.2</v>
      </c>
      <c r="F864" s="29" t="n">
        <v>0.066</v>
      </c>
      <c r="G864" s="29" t="n">
        <v>0.1688</v>
      </c>
      <c r="H864" s="30" t="n">
        <v>12.18</v>
      </c>
      <c r="I864" s="29" t="n">
        <v>0.0289</v>
      </c>
      <c r="J864" s="29" t="n">
        <v>0.0213</v>
      </c>
      <c r="K864" s="29" t="n">
        <v>0.0284</v>
      </c>
      <c r="L864" s="27" t="n">
        <v>25</v>
      </c>
      <c r="M864" s="27" t="n">
        <v>16160</v>
      </c>
      <c r="N864" s="30" t="n">
        <v>29.35</v>
      </c>
      <c r="O864" s="30" t="n">
        <v>8.96</v>
      </c>
      <c r="P864" s="29" t="n">
        <v>0.0098</v>
      </c>
      <c r="Q864" s="27" t="n">
        <v>264000</v>
      </c>
      <c r="R864" s="27" t="n">
        <v>178101</v>
      </c>
      <c r="S864" s="27" t="n">
        <v>149115</v>
      </c>
      <c r="T864" s="29" t="n">
        <v>0.815</v>
      </c>
      <c r="U864" s="29" t="n">
        <v>0.278</v>
      </c>
      <c r="V864" s="29" t="n">
        <v>0.89</v>
      </c>
      <c r="W864" s="28" t="n">
        <v>11.7</v>
      </c>
    </row>
    <row r="865" customFormat="false" ht="15" hidden="false" customHeight="false" outlineLevel="0" collapsed="false">
      <c r="A865" s="25" t="s">
        <v>1097</v>
      </c>
      <c r="B865" s="25" t="s">
        <v>411</v>
      </c>
      <c r="C865" s="26" t="n">
        <v>45931</v>
      </c>
      <c r="D865" s="27" t="n">
        <v>30963</v>
      </c>
      <c r="E865" s="28" t="n">
        <v>559.9</v>
      </c>
      <c r="F865" s="29" t="n">
        <v>0.0546</v>
      </c>
      <c r="G865" s="29" t="n">
        <v>0.1685</v>
      </c>
      <c r="H865" s="30" t="n">
        <v>13.49</v>
      </c>
      <c r="I865" s="29" t="n">
        <v>0.0285</v>
      </c>
      <c r="J865" s="29" t="n">
        <v>0.0368</v>
      </c>
      <c r="K865" s="29" t="n">
        <v>0.08</v>
      </c>
      <c r="L865" s="27" t="n">
        <v>26</v>
      </c>
      <c r="M865" s="27" t="n">
        <v>16000</v>
      </c>
      <c r="N865" s="30" t="n">
        <v>33.9</v>
      </c>
      <c r="O865" s="30" t="n">
        <v>9.14</v>
      </c>
      <c r="P865" s="29" t="n">
        <v>0.0105</v>
      </c>
      <c r="Q865" s="27" t="n">
        <v>207000</v>
      </c>
      <c r="R865" s="27" t="n">
        <v>185750</v>
      </c>
      <c r="S865" s="27" t="n">
        <v>174025</v>
      </c>
      <c r="T865" s="29" t="n">
        <v>0.797</v>
      </c>
      <c r="U865" s="29" t="n">
        <v>0.357</v>
      </c>
      <c r="V865" s="29" t="n">
        <v>0.8</v>
      </c>
      <c r="W865" s="28" t="n">
        <v>13.1</v>
      </c>
    </row>
    <row r="866" customFormat="false" ht="15" hidden="false" customHeight="false" outlineLevel="0" collapsed="false">
      <c r="A866" s="25" t="s">
        <v>1098</v>
      </c>
      <c r="B866" s="25" t="s">
        <v>411</v>
      </c>
      <c r="C866" s="26" t="n">
        <v>45962</v>
      </c>
      <c r="D866" s="27" t="n">
        <v>32317</v>
      </c>
      <c r="E866" s="28" t="n">
        <v>561.7</v>
      </c>
      <c r="F866" s="29" t="n">
        <v>0.055</v>
      </c>
      <c r="G866" s="29" t="n">
        <v>0.1659</v>
      </c>
      <c r="H866" s="30" t="n">
        <v>13.28</v>
      </c>
      <c r="I866" s="29" t="n">
        <v>0.0284</v>
      </c>
      <c r="J866" s="29" t="n">
        <v>0.0378</v>
      </c>
      <c r="K866" s="29" t="n">
        <v>0.0848</v>
      </c>
      <c r="L866" s="27" t="n">
        <v>30</v>
      </c>
      <c r="M866" s="27" t="n">
        <v>16015</v>
      </c>
      <c r="N866" s="30" t="n">
        <v>34.55</v>
      </c>
      <c r="O866" s="30" t="n">
        <v>8.68</v>
      </c>
      <c r="P866" s="29" t="n">
        <v>0.0101</v>
      </c>
      <c r="Q866" s="27" t="n">
        <v>207000</v>
      </c>
      <c r="R866" s="27" t="n">
        <v>179755</v>
      </c>
      <c r="S866" s="27" t="n">
        <v>154698</v>
      </c>
      <c r="T866" s="29" t="n">
        <v>0.788</v>
      </c>
      <c r="U866" s="29" t="n">
        <v>0.362</v>
      </c>
      <c r="V866" s="29" t="n">
        <v>0.787</v>
      </c>
      <c r="W866" s="28" t="n">
        <v>13.8</v>
      </c>
    </row>
    <row r="867" customFormat="false" ht="15" hidden="false" customHeight="false" outlineLevel="0" collapsed="false">
      <c r="A867" s="25" t="s">
        <v>1099</v>
      </c>
      <c r="B867" s="25" t="s">
        <v>411</v>
      </c>
      <c r="C867" s="26" t="n">
        <v>45992</v>
      </c>
      <c r="D867" s="27" t="n">
        <v>38876</v>
      </c>
      <c r="E867" s="28" t="n">
        <v>540.9</v>
      </c>
      <c r="F867" s="29" t="n">
        <v>0.0513</v>
      </c>
      <c r="G867" s="29" t="n">
        <v>0.1652</v>
      </c>
      <c r="H867" s="30" t="n">
        <v>13.39</v>
      </c>
      <c r="I867" s="29" t="n">
        <v>0.0305</v>
      </c>
      <c r="J867" s="29" t="n">
        <v>0.0368</v>
      </c>
      <c r="K867" s="29" t="n">
        <v>0.0825</v>
      </c>
      <c r="L867" s="27" t="n">
        <v>33</v>
      </c>
      <c r="M867" s="27" t="n">
        <v>16029</v>
      </c>
      <c r="N867" s="30" t="n">
        <v>33.1</v>
      </c>
      <c r="O867" s="30" t="n">
        <v>8.71</v>
      </c>
      <c r="P867" s="29" t="n">
        <v>0.0099</v>
      </c>
      <c r="Q867" s="27" t="n">
        <v>207000</v>
      </c>
      <c r="R867" s="27" t="n">
        <v>167892</v>
      </c>
      <c r="S867" s="27" t="n">
        <v>193930</v>
      </c>
      <c r="T867" s="29" t="n">
        <v>0.801</v>
      </c>
      <c r="U867" s="29" t="n">
        <v>0.359</v>
      </c>
      <c r="V867" s="29" t="n">
        <v>0.788</v>
      </c>
      <c r="W867" s="28" t="n">
        <v>13.8</v>
      </c>
    </row>
    <row r="868" customFormat="false" ht="15" hidden="false" customHeight="false" outlineLevel="0" collapsed="false">
      <c r="A868" s="25" t="s">
        <v>1100</v>
      </c>
      <c r="B868" s="25" t="s">
        <v>411</v>
      </c>
      <c r="C868" s="26" t="n">
        <v>46023</v>
      </c>
      <c r="D868" s="27" t="n">
        <v>32749</v>
      </c>
      <c r="E868" s="28" t="n">
        <v>558.5</v>
      </c>
      <c r="F868" s="29" t="n">
        <v>0.0481</v>
      </c>
      <c r="G868" s="29" t="n">
        <v>0.1666</v>
      </c>
      <c r="H868" s="30" t="n">
        <v>13.34</v>
      </c>
      <c r="I868" s="29" t="n">
        <v>0.0289</v>
      </c>
      <c r="J868" s="29" t="n">
        <v>0.037</v>
      </c>
      <c r="K868" s="29" t="n">
        <v>0.0873</v>
      </c>
      <c r="L868" s="27" t="n">
        <v>28</v>
      </c>
      <c r="M868" s="27" t="n">
        <v>16044</v>
      </c>
      <c r="N868" s="30" t="n">
        <v>33.57</v>
      </c>
      <c r="O868" s="30" t="n">
        <v>8.64</v>
      </c>
      <c r="P868" s="29" t="n">
        <v>0.0097</v>
      </c>
      <c r="Q868" s="27" t="n">
        <v>207000</v>
      </c>
      <c r="R868" s="27" t="n">
        <v>175289</v>
      </c>
      <c r="S868" s="27" t="n">
        <v>175146</v>
      </c>
      <c r="T868" s="29" t="n">
        <v>0.796</v>
      </c>
      <c r="U868" s="29" t="n">
        <v>0.378</v>
      </c>
      <c r="V868" s="29" t="n">
        <v>0.789</v>
      </c>
      <c r="W868" s="28" t="n">
        <v>13.6</v>
      </c>
    </row>
    <row r="869" customFormat="false" ht="15" hidden="false" customHeight="false" outlineLevel="0" collapsed="false">
      <c r="A869" s="25" t="s">
        <v>1101</v>
      </c>
      <c r="B869" s="25" t="s">
        <v>411</v>
      </c>
      <c r="C869" s="26" t="n">
        <v>46054</v>
      </c>
      <c r="D869" s="27" t="n">
        <v>31751</v>
      </c>
      <c r="E869" s="28" t="n">
        <v>555.8</v>
      </c>
      <c r="F869" s="29" t="n">
        <v>0.0535</v>
      </c>
      <c r="G869" s="29" t="n">
        <v>0.1676</v>
      </c>
      <c r="H869" s="30" t="n">
        <v>13.29</v>
      </c>
      <c r="I869" s="29" t="n">
        <v>0.0292</v>
      </c>
      <c r="J869" s="29" t="n">
        <v>0.0362</v>
      </c>
      <c r="K869" s="29" t="n">
        <v>0.0843</v>
      </c>
      <c r="L869" s="27" t="n">
        <v>31</v>
      </c>
      <c r="M869" s="27" t="n">
        <v>16058</v>
      </c>
      <c r="N869" s="30" t="n">
        <v>33.49</v>
      </c>
      <c r="O869" s="30" t="n">
        <v>8.86</v>
      </c>
      <c r="P869" s="29" t="n">
        <v>0.0101</v>
      </c>
      <c r="Q869" s="27" t="n">
        <v>207000</v>
      </c>
      <c r="R869" s="27" t="n">
        <v>184645</v>
      </c>
      <c r="S869" s="27" t="n">
        <v>157377</v>
      </c>
      <c r="T869" s="29" t="n">
        <v>0.773</v>
      </c>
      <c r="U869" s="29" t="n">
        <v>0.332</v>
      </c>
      <c r="V869" s="29" t="n">
        <v>0.778</v>
      </c>
      <c r="W869" s="28" t="n">
        <v>14.3</v>
      </c>
    </row>
    <row r="870" customFormat="false" ht="15" hidden="false" customHeight="false" outlineLevel="0" collapsed="false">
      <c r="A870" s="25" t="s">
        <v>1102</v>
      </c>
      <c r="B870" s="25" t="s">
        <v>411</v>
      </c>
      <c r="C870" s="26" t="n">
        <v>46082</v>
      </c>
      <c r="D870" s="27" t="n">
        <v>37412</v>
      </c>
      <c r="E870" s="28" t="n">
        <v>562.7</v>
      </c>
      <c r="F870" s="29" t="n">
        <v>0.0553</v>
      </c>
      <c r="G870" s="29" t="n">
        <v>0.1646</v>
      </c>
      <c r="H870" s="30" t="n">
        <v>13.57</v>
      </c>
      <c r="I870" s="29" t="n">
        <v>0.0296</v>
      </c>
      <c r="J870" s="29" t="n">
        <v>0.0363</v>
      </c>
      <c r="K870" s="29" t="n">
        <v>0.0838</v>
      </c>
      <c r="L870" s="27" t="n">
        <v>32</v>
      </c>
      <c r="M870" s="27" t="n">
        <v>16073</v>
      </c>
      <c r="N870" s="30" t="n">
        <v>33.83</v>
      </c>
      <c r="O870" s="30" t="n">
        <v>8.85</v>
      </c>
      <c r="P870" s="29" t="n">
        <v>0.0101</v>
      </c>
      <c r="Q870" s="27" t="n">
        <v>207000</v>
      </c>
      <c r="R870" s="27" t="n">
        <v>172667</v>
      </c>
      <c r="S870" s="27" t="n">
        <v>182692</v>
      </c>
      <c r="T870" s="29" t="n">
        <v>0.806</v>
      </c>
      <c r="U870" s="29" t="n">
        <v>0.37</v>
      </c>
      <c r="V870" s="29" t="n">
        <v>0.8</v>
      </c>
      <c r="W870" s="28" t="n">
        <v>13.4</v>
      </c>
    </row>
    <row r="871" customFormat="false" ht="15" hidden="false" customHeight="false" outlineLevel="0" collapsed="false">
      <c r="A871" s="25" t="s">
        <v>1103</v>
      </c>
      <c r="B871" s="25" t="s">
        <v>411</v>
      </c>
      <c r="C871" s="26" t="n">
        <v>46113</v>
      </c>
      <c r="D871" s="27" t="n">
        <v>34870</v>
      </c>
      <c r="E871" s="28" t="n">
        <v>546.2</v>
      </c>
      <c r="F871" s="29" t="n">
        <v>0.054</v>
      </c>
      <c r="G871" s="29" t="n">
        <v>0.1699</v>
      </c>
      <c r="H871" s="30" t="n">
        <v>13.45</v>
      </c>
      <c r="I871" s="29" t="n">
        <v>0.0291</v>
      </c>
      <c r="J871" s="29" t="n">
        <v>0.0369</v>
      </c>
      <c r="K871" s="29" t="n">
        <v>0.0831</v>
      </c>
      <c r="L871" s="27" t="n">
        <v>31</v>
      </c>
      <c r="M871" s="27" t="n">
        <v>16087</v>
      </c>
      <c r="N871" s="30" t="n">
        <v>34</v>
      </c>
      <c r="O871" s="30" t="n">
        <v>8.55</v>
      </c>
      <c r="P871" s="29" t="n">
        <v>0.0096</v>
      </c>
      <c r="Q871" s="27" t="n">
        <v>207000</v>
      </c>
      <c r="R871" s="27" t="n">
        <v>180516</v>
      </c>
      <c r="S871" s="27" t="n">
        <v>165277</v>
      </c>
      <c r="T871" s="29" t="n">
        <v>0.811</v>
      </c>
      <c r="U871" s="29" t="n">
        <v>0.36</v>
      </c>
      <c r="V871" s="29" t="n">
        <v>0.786</v>
      </c>
      <c r="W871" s="28" t="n">
        <v>14</v>
      </c>
    </row>
    <row r="872" customFormat="false" ht="15" hidden="false" customHeight="false" outlineLevel="0" collapsed="false">
      <c r="A872" s="25" t="s">
        <v>1104</v>
      </c>
      <c r="B872" s="25" t="s">
        <v>411</v>
      </c>
      <c r="C872" s="26" t="n">
        <v>46143</v>
      </c>
      <c r="D872" s="27" t="n">
        <v>35866</v>
      </c>
      <c r="E872" s="28" t="n">
        <v>552.5</v>
      </c>
      <c r="F872" s="29" t="n">
        <v>0.0534</v>
      </c>
      <c r="G872" s="29" t="n">
        <v>0.1683</v>
      </c>
      <c r="H872" s="30" t="n">
        <v>13.49</v>
      </c>
      <c r="I872" s="29" t="n">
        <v>0.0289</v>
      </c>
      <c r="J872" s="29" t="n">
        <v>0.0366</v>
      </c>
      <c r="K872" s="29" t="n">
        <v>0.0819</v>
      </c>
      <c r="L872" s="27" t="n">
        <v>31</v>
      </c>
      <c r="M872" s="27" t="n">
        <v>16102</v>
      </c>
      <c r="N872" s="30" t="n">
        <v>34.18</v>
      </c>
      <c r="O872" s="30" t="n">
        <v>8.74</v>
      </c>
      <c r="P872" s="29" t="n">
        <v>0.0096</v>
      </c>
      <c r="Q872" s="27" t="n">
        <v>207000</v>
      </c>
      <c r="R872" s="27" t="n">
        <v>175745</v>
      </c>
      <c r="S872" s="27" t="n">
        <v>154689</v>
      </c>
      <c r="T872" s="29" t="n">
        <v>0.826</v>
      </c>
      <c r="U872" s="29" t="n">
        <v>0.386</v>
      </c>
      <c r="V872" s="29" t="n">
        <v>0.801</v>
      </c>
      <c r="W872" s="28" t="n">
        <v>13.1</v>
      </c>
    </row>
    <row r="873" customFormat="false" ht="15" hidden="false" customHeight="false" outlineLevel="0" collapsed="false">
      <c r="A873" s="25" t="s">
        <v>1105</v>
      </c>
      <c r="B873" s="25" t="s">
        <v>411</v>
      </c>
      <c r="C873" s="26" t="n">
        <v>46174</v>
      </c>
      <c r="D873" s="27" t="n">
        <v>37434</v>
      </c>
      <c r="E873" s="28" t="n">
        <v>551</v>
      </c>
      <c r="F873" s="29" t="n">
        <v>0.0528</v>
      </c>
      <c r="G873" s="29" t="n">
        <v>0.1659</v>
      </c>
      <c r="H873" s="30" t="n">
        <v>13.93</v>
      </c>
      <c r="I873" s="29" t="n">
        <v>0.031</v>
      </c>
      <c r="J873" s="29" t="n">
        <v>0.0372</v>
      </c>
      <c r="K873" s="29" t="n">
        <v>0.0779</v>
      </c>
      <c r="L873" s="27" t="n">
        <v>33</v>
      </c>
      <c r="M873" s="27" t="n">
        <v>16116</v>
      </c>
      <c r="N873" s="30" t="n">
        <v>33.87</v>
      </c>
      <c r="O873" s="30" t="n">
        <v>8.79</v>
      </c>
      <c r="P873" s="29" t="n">
        <v>0.0102</v>
      </c>
      <c r="Q873" s="27" t="n">
        <v>207000</v>
      </c>
      <c r="R873" s="27" t="n">
        <v>175421</v>
      </c>
      <c r="S873" s="27" t="n">
        <v>176565</v>
      </c>
      <c r="T873" s="29" t="n">
        <v>0.817</v>
      </c>
      <c r="U873" s="29" t="n">
        <v>0.359</v>
      </c>
      <c r="V873" s="29" t="n">
        <v>0.803</v>
      </c>
      <c r="W873" s="28" t="n">
        <v>12.8</v>
      </c>
    </row>
    <row r="874" customFormat="false" ht="15" hidden="false" customHeight="false" outlineLevel="0" collapsed="false">
      <c r="A874" s="25" t="s">
        <v>1106</v>
      </c>
      <c r="B874" s="25" t="s">
        <v>411</v>
      </c>
      <c r="C874" s="26" t="n">
        <v>46204</v>
      </c>
      <c r="D874" s="27" t="n">
        <v>34834</v>
      </c>
      <c r="E874" s="28" t="n">
        <v>554.2</v>
      </c>
      <c r="F874" s="29" t="n">
        <v>0.0473</v>
      </c>
      <c r="G874" s="29" t="n">
        <v>0.17</v>
      </c>
      <c r="H874" s="30" t="n">
        <v>13.74</v>
      </c>
      <c r="I874" s="29" t="n">
        <v>0.0308</v>
      </c>
      <c r="J874" s="29" t="n">
        <v>0.0379</v>
      </c>
      <c r="K874" s="29" t="n">
        <v>0.0931</v>
      </c>
      <c r="L874" s="27" t="n">
        <v>30</v>
      </c>
      <c r="M874" s="27" t="n">
        <v>16131</v>
      </c>
      <c r="N874" s="30" t="n">
        <v>33.55</v>
      </c>
      <c r="O874" s="30" t="n">
        <v>8.62</v>
      </c>
      <c r="P874" s="29" t="n">
        <v>0.0096</v>
      </c>
      <c r="Q874" s="27" t="n">
        <v>207000</v>
      </c>
      <c r="R874" s="27" t="n">
        <v>180006</v>
      </c>
      <c r="S874" s="27" t="n">
        <v>146680</v>
      </c>
      <c r="T874" s="29" t="n">
        <v>0.824</v>
      </c>
      <c r="U874" s="29" t="n">
        <v>0.372</v>
      </c>
      <c r="V874" s="29" t="n">
        <v>0.77</v>
      </c>
      <c r="W874" s="28" t="n">
        <v>14.1</v>
      </c>
    </row>
    <row r="875" customFormat="false" ht="15" hidden="false" customHeight="false" outlineLevel="0" collapsed="false">
      <c r="A875" s="25" t="s">
        <v>1107</v>
      </c>
      <c r="B875" s="25" t="s">
        <v>411</v>
      </c>
      <c r="C875" s="26" t="n">
        <v>46235</v>
      </c>
      <c r="D875" s="27" t="n">
        <v>36775</v>
      </c>
      <c r="E875" s="28" t="n">
        <v>552.1</v>
      </c>
      <c r="F875" s="29" t="n">
        <v>0.0502</v>
      </c>
      <c r="G875" s="29" t="n">
        <v>0.1681</v>
      </c>
      <c r="H875" s="30" t="n">
        <v>12.74</v>
      </c>
      <c r="I875" s="29" t="n">
        <v>0.0295</v>
      </c>
      <c r="J875" s="29" t="n">
        <v>0.0378</v>
      </c>
      <c r="K875" s="29" t="n">
        <v>0.0845</v>
      </c>
      <c r="L875" s="27" t="n">
        <v>32</v>
      </c>
      <c r="M875" s="27" t="n">
        <v>16145</v>
      </c>
      <c r="N875" s="30" t="n">
        <v>33.42</v>
      </c>
      <c r="O875" s="30" t="n">
        <v>8.69</v>
      </c>
      <c r="P875" s="29" t="n">
        <v>0.0097</v>
      </c>
      <c r="Q875" s="27" t="n">
        <v>207000</v>
      </c>
      <c r="R875" s="27" t="n">
        <v>185318</v>
      </c>
      <c r="S875" s="27" t="n">
        <v>162052</v>
      </c>
      <c r="T875" s="29" t="n">
        <v>0.84</v>
      </c>
      <c r="U875" s="29" t="n">
        <v>0.351</v>
      </c>
      <c r="V875" s="29" t="n">
        <v>0.807</v>
      </c>
      <c r="W875" s="28" t="n">
        <v>13</v>
      </c>
    </row>
    <row r="876" customFormat="false" ht="15" hidden="false" customHeight="false" outlineLevel="0" collapsed="false">
      <c r="A876" s="25" t="s">
        <v>1108</v>
      </c>
      <c r="B876" s="25" t="s">
        <v>411</v>
      </c>
      <c r="C876" s="26" t="n">
        <v>46266</v>
      </c>
      <c r="D876" s="27" t="n">
        <v>39247</v>
      </c>
      <c r="E876" s="28" t="n">
        <v>534.5</v>
      </c>
      <c r="F876" s="29" t="n">
        <v>0.0529</v>
      </c>
      <c r="G876" s="29" t="n">
        <v>0.165</v>
      </c>
      <c r="H876" s="30" t="n">
        <v>13.03</v>
      </c>
      <c r="I876" s="29" t="n">
        <v>0.0314</v>
      </c>
      <c r="J876" s="29" t="n">
        <v>0.0375</v>
      </c>
      <c r="K876" s="29" t="n">
        <v>0.0845</v>
      </c>
      <c r="L876" s="27" t="n">
        <v>35</v>
      </c>
      <c r="M876" s="27" t="n">
        <v>16160</v>
      </c>
      <c r="N876" s="30" t="n">
        <v>33.88</v>
      </c>
      <c r="O876" s="30" t="n">
        <v>9.08</v>
      </c>
      <c r="P876" s="29" t="n">
        <v>0.0099</v>
      </c>
      <c r="Q876" s="27" t="n">
        <v>207000</v>
      </c>
      <c r="R876" s="27" t="n">
        <v>174091</v>
      </c>
      <c r="S876" s="27" t="n">
        <v>145818</v>
      </c>
      <c r="T876" s="29" t="n">
        <v>0.832</v>
      </c>
      <c r="U876" s="29" t="n">
        <v>0.381</v>
      </c>
      <c r="V876" s="29" t="n">
        <v>0.808</v>
      </c>
      <c r="W876" s="28" t="n">
        <v>13.2</v>
      </c>
    </row>
    <row r="877" customFormat="false" ht="15" hidden="false" customHeight="false" outlineLevel="0" collapsed="false">
      <c r="A877" s="25" t="s">
        <v>1109</v>
      </c>
      <c r="B877" s="25" t="s">
        <v>413</v>
      </c>
      <c r="C877" s="26" t="n">
        <v>45931</v>
      </c>
      <c r="D877" s="27" t="n">
        <v>34472</v>
      </c>
      <c r="E877" s="28" t="n">
        <v>562.5</v>
      </c>
      <c r="F877" s="29" t="n">
        <v>0.053</v>
      </c>
      <c r="G877" s="29" t="n">
        <v>0.1632</v>
      </c>
      <c r="H877" s="30" t="n">
        <v>11.9</v>
      </c>
      <c r="I877" s="29" t="n">
        <v>0.0294</v>
      </c>
      <c r="J877" s="29" t="n">
        <v>0.0212</v>
      </c>
      <c r="K877" s="29" t="n">
        <v>0.0319</v>
      </c>
      <c r="L877" s="27" t="n">
        <v>29</v>
      </c>
      <c r="M877" s="27" t="n">
        <v>16000</v>
      </c>
      <c r="N877" s="30" t="n">
        <v>29.26</v>
      </c>
      <c r="O877" s="30" t="n">
        <v>8.72</v>
      </c>
      <c r="P877" s="29" t="n">
        <v>0.01</v>
      </c>
      <c r="Q877" s="27" t="n">
        <v>435000</v>
      </c>
      <c r="R877" s="27" t="n">
        <v>192719</v>
      </c>
      <c r="S877" s="27" t="n">
        <v>161662</v>
      </c>
      <c r="T877" s="29" t="n">
        <v>0.824</v>
      </c>
      <c r="U877" s="29" t="n">
        <v>0.29</v>
      </c>
      <c r="V877" s="29" t="n">
        <v>0.903</v>
      </c>
      <c r="W877" s="28" t="n">
        <v>11.3</v>
      </c>
    </row>
    <row r="878" customFormat="false" ht="15" hidden="false" customHeight="false" outlineLevel="0" collapsed="false">
      <c r="A878" s="25" t="s">
        <v>1110</v>
      </c>
      <c r="B878" s="25" t="s">
        <v>413</v>
      </c>
      <c r="C878" s="26" t="n">
        <v>45962</v>
      </c>
      <c r="D878" s="27" t="n">
        <v>31205</v>
      </c>
      <c r="E878" s="28" t="n">
        <v>582.5</v>
      </c>
      <c r="F878" s="29" t="n">
        <v>0.0487</v>
      </c>
      <c r="G878" s="29" t="n">
        <v>0.1625</v>
      </c>
      <c r="H878" s="30" t="n">
        <v>13.1</v>
      </c>
      <c r="I878" s="29" t="n">
        <v>0.0313</v>
      </c>
      <c r="J878" s="29" t="n">
        <v>0.0207</v>
      </c>
      <c r="K878" s="29" t="n">
        <v>0.0216</v>
      </c>
      <c r="L878" s="27" t="n">
        <v>27</v>
      </c>
      <c r="M878" s="27" t="n">
        <v>16015</v>
      </c>
      <c r="N878" s="30" t="n">
        <v>30.06</v>
      </c>
      <c r="O878" s="30" t="n">
        <v>9</v>
      </c>
      <c r="P878" s="29" t="n">
        <v>0.0094</v>
      </c>
      <c r="Q878" s="27" t="n">
        <v>435000</v>
      </c>
      <c r="R878" s="27" t="n">
        <v>197852</v>
      </c>
      <c r="S878" s="27" t="n">
        <v>146541</v>
      </c>
      <c r="T878" s="29" t="n">
        <v>0.802</v>
      </c>
      <c r="U878" s="29" t="n">
        <v>0.294</v>
      </c>
      <c r="V878" s="29" t="n">
        <v>0.876</v>
      </c>
      <c r="W878" s="28" t="n">
        <v>11.7</v>
      </c>
    </row>
    <row r="879" customFormat="false" ht="15" hidden="false" customHeight="false" outlineLevel="0" collapsed="false">
      <c r="A879" s="25" t="s">
        <v>1111</v>
      </c>
      <c r="B879" s="25" t="s">
        <v>413</v>
      </c>
      <c r="C879" s="26" t="n">
        <v>45992</v>
      </c>
      <c r="D879" s="27" t="n">
        <v>33419</v>
      </c>
      <c r="E879" s="28" t="n">
        <v>568</v>
      </c>
      <c r="F879" s="29" t="n">
        <v>0.0503</v>
      </c>
      <c r="G879" s="29" t="n">
        <v>0.1689</v>
      </c>
      <c r="H879" s="30" t="n">
        <v>12.81</v>
      </c>
      <c r="I879" s="29" t="n">
        <v>0.0282</v>
      </c>
      <c r="J879" s="29" t="n">
        <v>0.0222</v>
      </c>
      <c r="K879" s="29" t="n">
        <v>0.0277</v>
      </c>
      <c r="L879" s="27" t="n">
        <v>30</v>
      </c>
      <c r="M879" s="27" t="n">
        <v>16029</v>
      </c>
      <c r="N879" s="30" t="n">
        <v>29.26</v>
      </c>
      <c r="O879" s="30" t="n">
        <v>8.86</v>
      </c>
      <c r="P879" s="29" t="n">
        <v>0.0099</v>
      </c>
      <c r="Q879" s="27" t="n">
        <v>435000</v>
      </c>
      <c r="R879" s="27" t="n">
        <v>195585</v>
      </c>
      <c r="S879" s="27" t="n">
        <v>152774</v>
      </c>
      <c r="T879" s="29" t="n">
        <v>0.836</v>
      </c>
      <c r="U879" s="29" t="n">
        <v>0.285</v>
      </c>
      <c r="V879" s="29" t="n">
        <v>0.897</v>
      </c>
      <c r="W879" s="28" t="n">
        <v>11.5</v>
      </c>
    </row>
    <row r="880" customFormat="false" ht="15" hidden="false" customHeight="false" outlineLevel="0" collapsed="false">
      <c r="A880" s="25" t="s">
        <v>1112</v>
      </c>
      <c r="B880" s="25" t="s">
        <v>413</v>
      </c>
      <c r="C880" s="26" t="n">
        <v>46023</v>
      </c>
      <c r="D880" s="27" t="n">
        <v>29378</v>
      </c>
      <c r="E880" s="28" t="n">
        <v>582.6</v>
      </c>
      <c r="F880" s="29" t="n">
        <v>0.0516</v>
      </c>
      <c r="G880" s="29" t="n">
        <v>0.1649</v>
      </c>
      <c r="H880" s="30" t="n">
        <v>13</v>
      </c>
      <c r="I880" s="29" t="n">
        <v>0.0283</v>
      </c>
      <c r="J880" s="29" t="n">
        <v>0.0228</v>
      </c>
      <c r="K880" s="29" t="n">
        <v>0.0275</v>
      </c>
      <c r="L880" s="27" t="n">
        <v>27</v>
      </c>
      <c r="M880" s="27" t="n">
        <v>16044</v>
      </c>
      <c r="N880" s="30" t="n">
        <v>29.56</v>
      </c>
      <c r="O880" s="30" t="n">
        <v>8.63</v>
      </c>
      <c r="P880" s="29" t="n">
        <v>0.0098</v>
      </c>
      <c r="Q880" s="27" t="n">
        <v>435000</v>
      </c>
      <c r="R880" s="27" t="n">
        <v>189457</v>
      </c>
      <c r="S880" s="27" t="n">
        <v>120291</v>
      </c>
      <c r="T880" s="29" t="n">
        <v>0.802</v>
      </c>
      <c r="U880" s="29" t="n">
        <v>0.282</v>
      </c>
      <c r="V880" s="29" t="n">
        <v>0.889</v>
      </c>
      <c r="W880" s="28" t="n">
        <v>11.5</v>
      </c>
    </row>
    <row r="881" customFormat="false" ht="15" hidden="false" customHeight="false" outlineLevel="0" collapsed="false">
      <c r="A881" s="25" t="s">
        <v>1113</v>
      </c>
      <c r="B881" s="25" t="s">
        <v>413</v>
      </c>
      <c r="C881" s="26" t="n">
        <v>46054</v>
      </c>
      <c r="D881" s="27" t="n">
        <v>29200</v>
      </c>
      <c r="E881" s="28" t="n">
        <v>570.8</v>
      </c>
      <c r="F881" s="29" t="n">
        <v>0.0523</v>
      </c>
      <c r="G881" s="29" t="n">
        <v>0.167</v>
      </c>
      <c r="H881" s="30" t="n">
        <v>11.9</v>
      </c>
      <c r="I881" s="29" t="n">
        <v>0.0278</v>
      </c>
      <c r="J881" s="29" t="n">
        <v>0.0224</v>
      </c>
      <c r="K881" s="29" t="n">
        <v>0.0358</v>
      </c>
      <c r="L881" s="27" t="n">
        <v>29</v>
      </c>
      <c r="M881" s="27" t="n">
        <v>16058</v>
      </c>
      <c r="N881" s="30" t="n">
        <v>29.43</v>
      </c>
      <c r="O881" s="30" t="n">
        <v>8.82</v>
      </c>
      <c r="P881" s="29" t="n">
        <v>0.0098</v>
      </c>
      <c r="Q881" s="27" t="n">
        <v>435000</v>
      </c>
      <c r="R881" s="27" t="n">
        <v>192226</v>
      </c>
      <c r="S881" s="27" t="n">
        <v>104458</v>
      </c>
      <c r="T881" s="29" t="n">
        <v>0.822</v>
      </c>
      <c r="U881" s="29" t="n">
        <v>0.297</v>
      </c>
      <c r="V881" s="29" t="n">
        <v>0.879</v>
      </c>
      <c r="W881" s="28" t="n">
        <v>12</v>
      </c>
    </row>
    <row r="882" customFormat="false" ht="15" hidden="false" customHeight="false" outlineLevel="0" collapsed="false">
      <c r="A882" s="25" t="s">
        <v>1114</v>
      </c>
      <c r="B882" s="25" t="s">
        <v>413</v>
      </c>
      <c r="C882" s="26" t="n">
        <v>46082</v>
      </c>
      <c r="D882" s="27" t="n">
        <v>32919</v>
      </c>
      <c r="E882" s="28" t="n">
        <v>573.5</v>
      </c>
      <c r="F882" s="29" t="n">
        <v>0.0518</v>
      </c>
      <c r="G882" s="29" t="n">
        <v>0.1622</v>
      </c>
      <c r="H882" s="30" t="n">
        <v>12.77</v>
      </c>
      <c r="I882" s="29" t="n">
        <v>0.0275</v>
      </c>
      <c r="J882" s="29" t="n">
        <v>0.0227</v>
      </c>
      <c r="K882" s="29" t="n">
        <v>0.0342</v>
      </c>
      <c r="L882" s="27" t="n">
        <v>29</v>
      </c>
      <c r="M882" s="27" t="n">
        <v>16073</v>
      </c>
      <c r="N882" s="30" t="n">
        <v>28.92</v>
      </c>
      <c r="O882" s="30" t="n">
        <v>8.79</v>
      </c>
      <c r="P882" s="29" t="n">
        <v>0.0097</v>
      </c>
      <c r="Q882" s="27" t="n">
        <v>435000</v>
      </c>
      <c r="R882" s="27" t="n">
        <v>185476</v>
      </c>
      <c r="S882" s="27" t="n">
        <v>139354</v>
      </c>
      <c r="T882" s="29" t="n">
        <v>0.802</v>
      </c>
      <c r="U882" s="29" t="n">
        <v>0.287</v>
      </c>
      <c r="V882" s="29" t="n">
        <v>0.876</v>
      </c>
      <c r="W882" s="28" t="n">
        <v>11.7</v>
      </c>
    </row>
    <row r="883" customFormat="false" ht="15" hidden="false" customHeight="false" outlineLevel="0" collapsed="false">
      <c r="A883" s="25" t="s">
        <v>1115</v>
      </c>
      <c r="B883" s="25" t="s">
        <v>413</v>
      </c>
      <c r="C883" s="26" t="n">
        <v>46113</v>
      </c>
      <c r="D883" s="27" t="n">
        <v>31819</v>
      </c>
      <c r="E883" s="28" t="n">
        <v>578.2</v>
      </c>
      <c r="F883" s="29" t="n">
        <v>0.0554</v>
      </c>
      <c r="G883" s="29" t="n">
        <v>0.1662</v>
      </c>
      <c r="H883" s="30" t="n">
        <v>11.65</v>
      </c>
      <c r="I883" s="29" t="n">
        <v>0.0296</v>
      </c>
      <c r="J883" s="29" t="n">
        <v>0.0212</v>
      </c>
      <c r="K883" s="29" t="n">
        <v>0.0289</v>
      </c>
      <c r="L883" s="27" t="n">
        <v>29</v>
      </c>
      <c r="M883" s="27" t="n">
        <v>16087</v>
      </c>
      <c r="N883" s="30" t="n">
        <v>29.41</v>
      </c>
      <c r="O883" s="30" t="n">
        <v>8.76</v>
      </c>
      <c r="P883" s="29" t="n">
        <v>0.0105</v>
      </c>
      <c r="Q883" s="27" t="n">
        <v>435000</v>
      </c>
      <c r="R883" s="27" t="n">
        <v>184089</v>
      </c>
      <c r="S883" s="27" t="n">
        <v>139329</v>
      </c>
      <c r="T883" s="29" t="n">
        <v>0.824</v>
      </c>
      <c r="U883" s="29" t="n">
        <v>0.301</v>
      </c>
      <c r="V883" s="29" t="n">
        <v>0.872</v>
      </c>
      <c r="W883" s="28" t="n">
        <v>11.9</v>
      </c>
    </row>
    <row r="884" customFormat="false" ht="15" hidden="false" customHeight="false" outlineLevel="0" collapsed="false">
      <c r="A884" s="25" t="s">
        <v>1116</v>
      </c>
      <c r="B884" s="25" t="s">
        <v>413</v>
      </c>
      <c r="C884" s="26" t="n">
        <v>46143</v>
      </c>
      <c r="D884" s="27" t="n">
        <v>34831</v>
      </c>
      <c r="E884" s="28" t="n">
        <v>578.8</v>
      </c>
      <c r="F884" s="29" t="n">
        <v>0.0505</v>
      </c>
      <c r="G884" s="29" t="n">
        <v>0.1644</v>
      </c>
      <c r="H884" s="30" t="n">
        <v>12.58</v>
      </c>
      <c r="I884" s="29" t="n">
        <v>0.0303</v>
      </c>
      <c r="J884" s="29" t="n">
        <v>0.0215</v>
      </c>
      <c r="K884" s="29" t="n">
        <v>0.0351</v>
      </c>
      <c r="L884" s="27" t="n">
        <v>30</v>
      </c>
      <c r="M884" s="27" t="n">
        <v>16102</v>
      </c>
      <c r="N884" s="30" t="n">
        <v>29.3</v>
      </c>
      <c r="O884" s="30" t="n">
        <v>8.65</v>
      </c>
      <c r="P884" s="29" t="n">
        <v>0.0097</v>
      </c>
      <c r="Q884" s="27" t="n">
        <v>435000</v>
      </c>
      <c r="R884" s="27" t="n">
        <v>200186</v>
      </c>
      <c r="S884" s="27" t="n">
        <v>135530</v>
      </c>
      <c r="T884" s="29" t="n">
        <v>0.818</v>
      </c>
      <c r="U884" s="29" t="n">
        <v>0.325</v>
      </c>
      <c r="V884" s="29" t="n">
        <v>0.883</v>
      </c>
      <c r="W884" s="28" t="n">
        <v>12</v>
      </c>
    </row>
    <row r="885" customFormat="false" ht="15" hidden="false" customHeight="false" outlineLevel="0" collapsed="false">
      <c r="A885" s="25" t="s">
        <v>1117</v>
      </c>
      <c r="B885" s="25" t="s">
        <v>413</v>
      </c>
      <c r="C885" s="26" t="n">
        <v>46174</v>
      </c>
      <c r="D885" s="27" t="n">
        <v>34816</v>
      </c>
      <c r="E885" s="28" t="n">
        <v>575</v>
      </c>
      <c r="F885" s="29" t="n">
        <v>0.052</v>
      </c>
      <c r="G885" s="29" t="n">
        <v>0.1621</v>
      </c>
      <c r="H885" s="30" t="n">
        <v>11.68</v>
      </c>
      <c r="I885" s="29" t="n">
        <v>0.0298</v>
      </c>
      <c r="J885" s="29" t="n">
        <v>0.0219</v>
      </c>
      <c r="K885" s="29" t="n">
        <v>0.0312</v>
      </c>
      <c r="L885" s="27" t="n">
        <v>31</v>
      </c>
      <c r="M885" s="27" t="n">
        <v>16116</v>
      </c>
      <c r="N885" s="30" t="n">
        <v>29.1</v>
      </c>
      <c r="O885" s="30" t="n">
        <v>8.6</v>
      </c>
      <c r="P885" s="29" t="n">
        <v>0.0104</v>
      </c>
      <c r="Q885" s="27" t="n">
        <v>435000</v>
      </c>
      <c r="R885" s="27" t="n">
        <v>194616</v>
      </c>
      <c r="S885" s="27" t="n">
        <v>129760</v>
      </c>
      <c r="T885" s="29" t="n">
        <v>0.827</v>
      </c>
      <c r="U885" s="29" t="n">
        <v>0.318</v>
      </c>
      <c r="V885" s="29" t="n">
        <v>0.863</v>
      </c>
      <c r="W885" s="28" t="n">
        <v>12</v>
      </c>
    </row>
    <row r="886" customFormat="false" ht="15" hidden="false" customHeight="false" outlineLevel="0" collapsed="false">
      <c r="A886" s="25" t="s">
        <v>1118</v>
      </c>
      <c r="B886" s="25" t="s">
        <v>413</v>
      </c>
      <c r="C886" s="26" t="n">
        <v>46204</v>
      </c>
      <c r="D886" s="27" t="n">
        <v>32391</v>
      </c>
      <c r="E886" s="28" t="n">
        <v>588.4</v>
      </c>
      <c r="F886" s="29" t="n">
        <v>0.0524</v>
      </c>
      <c r="G886" s="29" t="n">
        <v>0.1648</v>
      </c>
      <c r="H886" s="30" t="n">
        <v>12.52</v>
      </c>
      <c r="I886" s="29" t="n">
        <v>0.0287</v>
      </c>
      <c r="J886" s="29" t="n">
        <v>0.0204</v>
      </c>
      <c r="K886" s="29" t="n">
        <v>0.0353</v>
      </c>
      <c r="L886" s="27" t="n">
        <v>27</v>
      </c>
      <c r="M886" s="27" t="n">
        <v>16131</v>
      </c>
      <c r="N886" s="30" t="n">
        <v>29.57</v>
      </c>
      <c r="O886" s="30" t="n">
        <v>8.85</v>
      </c>
      <c r="P886" s="29" t="n">
        <v>0.0096</v>
      </c>
      <c r="Q886" s="27" t="n">
        <v>435000</v>
      </c>
      <c r="R886" s="27" t="n">
        <v>193766</v>
      </c>
      <c r="S886" s="27" t="n">
        <v>114775</v>
      </c>
      <c r="T886" s="29" t="n">
        <v>0.81</v>
      </c>
      <c r="U886" s="29" t="n">
        <v>0.296</v>
      </c>
      <c r="V886" s="29" t="n">
        <v>0.88</v>
      </c>
      <c r="W886" s="28" t="n">
        <v>11.8</v>
      </c>
    </row>
    <row r="887" customFormat="false" ht="15" hidden="false" customHeight="false" outlineLevel="0" collapsed="false">
      <c r="A887" s="25" t="s">
        <v>1119</v>
      </c>
      <c r="B887" s="25" t="s">
        <v>413</v>
      </c>
      <c r="C887" s="26" t="n">
        <v>46235</v>
      </c>
      <c r="D887" s="27" t="n">
        <v>34888</v>
      </c>
      <c r="E887" s="28" t="n">
        <v>572.8</v>
      </c>
      <c r="F887" s="29" t="n">
        <v>0.049</v>
      </c>
      <c r="G887" s="29" t="n">
        <v>0.1653</v>
      </c>
      <c r="H887" s="30" t="n">
        <v>12.33</v>
      </c>
      <c r="I887" s="29" t="n">
        <v>0.0311</v>
      </c>
      <c r="J887" s="29" t="n">
        <v>0.0207</v>
      </c>
      <c r="K887" s="29" t="n">
        <v>0.0371</v>
      </c>
      <c r="L887" s="27" t="n">
        <v>29</v>
      </c>
      <c r="M887" s="27" t="n">
        <v>16145</v>
      </c>
      <c r="N887" s="30" t="n">
        <v>29.36</v>
      </c>
      <c r="O887" s="30" t="n">
        <v>8.81</v>
      </c>
      <c r="P887" s="29" t="n">
        <v>0.0106</v>
      </c>
      <c r="Q887" s="27" t="n">
        <v>435000</v>
      </c>
      <c r="R887" s="27" t="n">
        <v>187536</v>
      </c>
      <c r="S887" s="27" t="n">
        <v>150299</v>
      </c>
      <c r="T887" s="29" t="n">
        <v>0.817</v>
      </c>
      <c r="U887" s="29" t="n">
        <v>0.306</v>
      </c>
      <c r="V887" s="29" t="n">
        <v>0.873</v>
      </c>
      <c r="W887" s="28" t="n">
        <v>11.9</v>
      </c>
    </row>
    <row r="888" customFormat="false" ht="15" hidden="false" customHeight="false" outlineLevel="0" collapsed="false">
      <c r="A888" s="25" t="s">
        <v>1120</v>
      </c>
      <c r="B888" s="25" t="s">
        <v>413</v>
      </c>
      <c r="C888" s="26" t="n">
        <v>46266</v>
      </c>
      <c r="D888" s="27" t="n">
        <v>33468</v>
      </c>
      <c r="E888" s="28" t="n">
        <v>563.5</v>
      </c>
      <c r="F888" s="29" t="n">
        <v>0.0531</v>
      </c>
      <c r="G888" s="29" t="n">
        <v>0.1625</v>
      </c>
      <c r="H888" s="30" t="n">
        <v>12.78</v>
      </c>
      <c r="I888" s="29" t="n">
        <v>0.0303</v>
      </c>
      <c r="J888" s="29" t="n">
        <v>0.023</v>
      </c>
      <c r="K888" s="29" t="n">
        <v>0.0343</v>
      </c>
      <c r="L888" s="27" t="n">
        <v>30</v>
      </c>
      <c r="M888" s="27" t="n">
        <v>16160</v>
      </c>
      <c r="N888" s="30" t="n">
        <v>30.09</v>
      </c>
      <c r="O888" s="30" t="n">
        <v>8.91</v>
      </c>
      <c r="P888" s="29" t="n">
        <v>0.0098</v>
      </c>
      <c r="Q888" s="27" t="n">
        <v>435000</v>
      </c>
      <c r="R888" s="27" t="n">
        <v>185553</v>
      </c>
      <c r="S888" s="27" t="n">
        <v>134571</v>
      </c>
      <c r="T888" s="29" t="n">
        <v>0.811</v>
      </c>
      <c r="U888" s="29" t="n">
        <v>0.31</v>
      </c>
      <c r="V888" s="29" t="n">
        <v>0.87</v>
      </c>
      <c r="W888" s="28" t="n">
        <v>12.1</v>
      </c>
    </row>
    <row r="889" customFormat="false" ht="15" hidden="false" customHeight="false" outlineLevel="0" collapsed="false">
      <c r="A889" s="25" t="s">
        <v>1121</v>
      </c>
      <c r="B889" s="25" t="s">
        <v>412</v>
      </c>
      <c r="C889" s="26" t="n">
        <v>45931</v>
      </c>
      <c r="D889" s="27" t="n">
        <v>2855</v>
      </c>
      <c r="E889" s="28" t="n">
        <v>541.8</v>
      </c>
      <c r="F889" s="29" t="n">
        <v>0.0823</v>
      </c>
      <c r="G889" s="29" t="n">
        <v>0.1676</v>
      </c>
      <c r="H889" s="30" t="n">
        <v>13.11</v>
      </c>
      <c r="I889" s="29" t="n">
        <v>0.0177</v>
      </c>
      <c r="J889" s="29" t="n">
        <v>0.0456</v>
      </c>
      <c r="K889" s="29" t="n">
        <v>0.051</v>
      </c>
      <c r="L889" s="27" t="n">
        <v>16</v>
      </c>
      <c r="M889" s="27" t="n">
        <v>16000</v>
      </c>
      <c r="N889" s="30" t="n">
        <v>40.8</v>
      </c>
      <c r="O889" s="30" t="n">
        <v>9.02</v>
      </c>
      <c r="P889" s="29" t="n">
        <v>0.0101</v>
      </c>
      <c r="Q889" s="27" t="n">
        <v>365000</v>
      </c>
      <c r="R889" s="27" t="n">
        <v>186153</v>
      </c>
      <c r="S889" s="27" t="n">
        <v>49147</v>
      </c>
      <c r="T889" s="29" t="n">
        <v>0.58</v>
      </c>
      <c r="U889" s="29" t="n">
        <v>0.303</v>
      </c>
      <c r="V889" s="29" t="n">
        <v>0.84</v>
      </c>
      <c r="W889" s="28" t="n">
        <v>12.7</v>
      </c>
    </row>
    <row r="890" customFormat="false" ht="15" hidden="false" customHeight="false" outlineLevel="0" collapsed="false">
      <c r="A890" s="25" t="s">
        <v>1122</v>
      </c>
      <c r="B890" s="25" t="s">
        <v>412</v>
      </c>
      <c r="C890" s="26" t="n">
        <v>45962</v>
      </c>
      <c r="D890" s="27" t="n">
        <v>2719</v>
      </c>
      <c r="E890" s="28" t="n">
        <v>543.7</v>
      </c>
      <c r="F890" s="29" t="n">
        <v>0.0796</v>
      </c>
      <c r="G890" s="29" t="n">
        <v>0.1725</v>
      </c>
      <c r="H890" s="30" t="n">
        <v>12.08</v>
      </c>
      <c r="I890" s="29" t="n">
        <v>0.0158</v>
      </c>
      <c r="J890" s="29" t="n">
        <v>0.0451</v>
      </c>
      <c r="K890" s="29" t="n">
        <v>0.0674</v>
      </c>
      <c r="L890" s="27" t="n">
        <v>16</v>
      </c>
      <c r="M890" s="27" t="n">
        <v>16015</v>
      </c>
      <c r="N890" s="30" t="n">
        <v>40.59</v>
      </c>
      <c r="O890" s="30" t="n">
        <v>8.9</v>
      </c>
      <c r="P890" s="29" t="n">
        <v>0.0101</v>
      </c>
      <c r="Q890" s="27" t="n">
        <v>365000</v>
      </c>
      <c r="R890" s="27" t="n">
        <v>194457</v>
      </c>
      <c r="S890" s="27" t="n">
        <v>44929</v>
      </c>
      <c r="T890" s="29" t="n">
        <v>0.574</v>
      </c>
      <c r="U890" s="29" t="n">
        <v>0.306</v>
      </c>
      <c r="V890" s="29" t="n">
        <v>0.823</v>
      </c>
      <c r="W890" s="28" t="n">
        <v>12.7</v>
      </c>
    </row>
    <row r="891" customFormat="false" ht="15" hidden="false" customHeight="false" outlineLevel="0" collapsed="false">
      <c r="A891" s="25" t="s">
        <v>1123</v>
      </c>
      <c r="B891" s="25" t="s">
        <v>412</v>
      </c>
      <c r="C891" s="26" t="n">
        <v>45992</v>
      </c>
      <c r="D891" s="27" t="n">
        <v>2813</v>
      </c>
      <c r="E891" s="28" t="n">
        <v>534.5</v>
      </c>
      <c r="F891" s="29" t="n">
        <v>0.0808</v>
      </c>
      <c r="G891" s="29" t="n">
        <v>0.1673</v>
      </c>
      <c r="H891" s="30" t="n">
        <v>12.22</v>
      </c>
      <c r="I891" s="29" t="n">
        <v>0.0173</v>
      </c>
      <c r="J891" s="29" t="n">
        <v>0.0466</v>
      </c>
      <c r="K891" s="29" t="n">
        <v>0.0597</v>
      </c>
      <c r="L891" s="27" t="n">
        <v>16</v>
      </c>
      <c r="M891" s="27" t="n">
        <v>16029</v>
      </c>
      <c r="N891" s="30" t="n">
        <v>42.24</v>
      </c>
      <c r="O891" s="30" t="n">
        <v>8.64</v>
      </c>
      <c r="P891" s="29" t="n">
        <v>0.0098</v>
      </c>
      <c r="Q891" s="27" t="n">
        <v>365000</v>
      </c>
      <c r="R891" s="27" t="n">
        <v>180623</v>
      </c>
      <c r="S891" s="27" t="n">
        <v>47613</v>
      </c>
      <c r="T891" s="29" t="n">
        <v>0.6</v>
      </c>
      <c r="U891" s="29" t="n">
        <v>0.277</v>
      </c>
      <c r="V891" s="29" t="n">
        <v>0.836</v>
      </c>
      <c r="W891" s="28" t="n">
        <v>12.6</v>
      </c>
    </row>
    <row r="892" customFormat="false" ht="15" hidden="false" customHeight="false" outlineLevel="0" collapsed="false">
      <c r="A892" s="25" t="s">
        <v>1124</v>
      </c>
      <c r="B892" s="25" t="s">
        <v>412</v>
      </c>
      <c r="C892" s="26" t="n">
        <v>46023</v>
      </c>
      <c r="D892" s="27" t="n">
        <v>2537</v>
      </c>
      <c r="E892" s="28" t="n">
        <v>538</v>
      </c>
      <c r="F892" s="29" t="n">
        <v>0.0834</v>
      </c>
      <c r="G892" s="29" t="n">
        <v>0.1726</v>
      </c>
      <c r="H892" s="30" t="n">
        <v>12.72</v>
      </c>
      <c r="I892" s="29" t="n">
        <v>0.0157</v>
      </c>
      <c r="J892" s="29" t="n">
        <v>0.0462</v>
      </c>
      <c r="K892" s="29" t="n">
        <v>0.0684</v>
      </c>
      <c r="L892" s="27" t="n">
        <v>16</v>
      </c>
      <c r="M892" s="27" t="n">
        <v>16044</v>
      </c>
      <c r="N892" s="30" t="n">
        <v>41.9</v>
      </c>
      <c r="O892" s="30" t="n">
        <v>8.47</v>
      </c>
      <c r="P892" s="29" t="n">
        <v>0.0098</v>
      </c>
      <c r="Q892" s="27" t="n">
        <v>365000</v>
      </c>
      <c r="R892" s="27" t="n">
        <v>189707</v>
      </c>
      <c r="S892" s="27" t="n">
        <v>41120</v>
      </c>
      <c r="T892" s="29" t="n">
        <v>0.593</v>
      </c>
      <c r="U892" s="29" t="n">
        <v>0.31</v>
      </c>
      <c r="V892" s="29" t="n">
        <v>0.825</v>
      </c>
      <c r="W892" s="28" t="n">
        <v>13.4</v>
      </c>
    </row>
    <row r="893" customFormat="false" ht="15" hidden="false" customHeight="false" outlineLevel="0" collapsed="false">
      <c r="A893" s="25" t="s">
        <v>1125</v>
      </c>
      <c r="B893" s="25" t="s">
        <v>412</v>
      </c>
      <c r="C893" s="26" t="n">
        <v>46054</v>
      </c>
      <c r="D893" s="27" t="n">
        <v>2524</v>
      </c>
      <c r="E893" s="28" t="n">
        <v>545.2</v>
      </c>
      <c r="F893" s="29" t="n">
        <v>0.084</v>
      </c>
      <c r="G893" s="29" t="n">
        <v>0.1682</v>
      </c>
      <c r="H893" s="30" t="n">
        <v>12.75</v>
      </c>
      <c r="I893" s="29" t="n">
        <v>0.0168</v>
      </c>
      <c r="J893" s="29" t="n">
        <v>0.0453</v>
      </c>
      <c r="K893" s="29" t="n">
        <v>0.0636</v>
      </c>
      <c r="L893" s="27" t="n">
        <v>16</v>
      </c>
      <c r="M893" s="27" t="n">
        <v>16058</v>
      </c>
      <c r="N893" s="30" t="n">
        <v>40.55</v>
      </c>
      <c r="O893" s="30" t="n">
        <v>8.78</v>
      </c>
      <c r="P893" s="29" t="n">
        <v>0.0104</v>
      </c>
      <c r="Q893" s="27" t="n">
        <v>365000</v>
      </c>
      <c r="R893" s="27" t="n">
        <v>186409</v>
      </c>
      <c r="S893" s="27" t="n">
        <v>41049</v>
      </c>
      <c r="T893" s="29" t="n">
        <v>0.597</v>
      </c>
      <c r="U893" s="29" t="n">
        <v>0.287</v>
      </c>
      <c r="V893" s="29" t="n">
        <v>0.811</v>
      </c>
      <c r="W893" s="28" t="n">
        <v>13.7</v>
      </c>
    </row>
    <row r="894" customFormat="false" ht="15" hidden="false" customHeight="false" outlineLevel="0" collapsed="false">
      <c r="A894" s="25" t="s">
        <v>1126</v>
      </c>
      <c r="B894" s="25" t="s">
        <v>412</v>
      </c>
      <c r="C894" s="26" t="n">
        <v>46082</v>
      </c>
      <c r="D894" s="27" t="n">
        <v>2862</v>
      </c>
      <c r="E894" s="28" t="n">
        <v>536.9</v>
      </c>
      <c r="F894" s="29" t="n">
        <v>0.0828</v>
      </c>
      <c r="G894" s="29" t="n">
        <v>0.1701</v>
      </c>
      <c r="H894" s="30" t="n">
        <v>13.05</v>
      </c>
      <c r="I894" s="29" t="n">
        <v>0.0176</v>
      </c>
      <c r="J894" s="29" t="n">
        <v>0.0465</v>
      </c>
      <c r="K894" s="29" t="n">
        <v>0.062</v>
      </c>
      <c r="L894" s="27" t="n">
        <v>16</v>
      </c>
      <c r="M894" s="27" t="n">
        <v>16073</v>
      </c>
      <c r="N894" s="30" t="n">
        <v>41.19</v>
      </c>
      <c r="O894" s="30" t="n">
        <v>8.85</v>
      </c>
      <c r="P894" s="29" t="n">
        <v>0.01</v>
      </c>
      <c r="Q894" s="27" t="n">
        <v>365000</v>
      </c>
      <c r="R894" s="27" t="n">
        <v>195293</v>
      </c>
      <c r="S894" s="27" t="n">
        <v>46943</v>
      </c>
      <c r="T894" s="29" t="n">
        <v>0.584</v>
      </c>
      <c r="U894" s="29" t="n">
        <v>0.291</v>
      </c>
      <c r="V894" s="29" t="n">
        <v>0.818</v>
      </c>
      <c r="W894" s="28" t="n">
        <v>12.9</v>
      </c>
    </row>
    <row r="895" customFormat="false" ht="15" hidden="false" customHeight="false" outlineLevel="0" collapsed="false">
      <c r="A895" s="25" t="s">
        <v>1127</v>
      </c>
      <c r="B895" s="25" t="s">
        <v>412</v>
      </c>
      <c r="C895" s="26" t="n">
        <v>46113</v>
      </c>
      <c r="D895" s="27" t="n">
        <v>2835</v>
      </c>
      <c r="E895" s="28" t="n">
        <v>540.9</v>
      </c>
      <c r="F895" s="29" t="n">
        <v>0.0805</v>
      </c>
      <c r="G895" s="29" t="n">
        <v>0.1639</v>
      </c>
      <c r="H895" s="30" t="n">
        <v>12.44</v>
      </c>
      <c r="I895" s="29" t="n">
        <v>0.0154</v>
      </c>
      <c r="J895" s="29" t="n">
        <v>0.0467</v>
      </c>
      <c r="K895" s="29" t="n">
        <v>0.0596</v>
      </c>
      <c r="L895" s="27" t="n">
        <v>16</v>
      </c>
      <c r="M895" s="27" t="n">
        <v>16087</v>
      </c>
      <c r="N895" s="30" t="n">
        <v>40.84</v>
      </c>
      <c r="O895" s="30" t="n">
        <v>8.93</v>
      </c>
      <c r="P895" s="29" t="n">
        <v>0.01</v>
      </c>
      <c r="Q895" s="27" t="n">
        <v>365000</v>
      </c>
      <c r="R895" s="27" t="n">
        <v>190488</v>
      </c>
      <c r="S895" s="27" t="n">
        <v>47468</v>
      </c>
      <c r="T895" s="29" t="n">
        <v>0.574</v>
      </c>
      <c r="U895" s="29" t="n">
        <v>0.291</v>
      </c>
      <c r="V895" s="29" t="n">
        <v>0.834</v>
      </c>
      <c r="W895" s="28" t="n">
        <v>12.8</v>
      </c>
    </row>
    <row r="896" customFormat="false" ht="15" hidden="false" customHeight="false" outlineLevel="0" collapsed="false">
      <c r="A896" s="25" t="s">
        <v>1128</v>
      </c>
      <c r="B896" s="25" t="s">
        <v>412</v>
      </c>
      <c r="C896" s="26" t="n">
        <v>46143</v>
      </c>
      <c r="D896" s="27" t="n">
        <v>2997</v>
      </c>
      <c r="E896" s="28" t="n">
        <v>539</v>
      </c>
      <c r="F896" s="29" t="n">
        <v>0.0793</v>
      </c>
      <c r="G896" s="29" t="n">
        <v>0.168</v>
      </c>
      <c r="H896" s="30" t="n">
        <v>12.89</v>
      </c>
      <c r="I896" s="29" t="n">
        <v>0.015</v>
      </c>
      <c r="J896" s="29" t="n">
        <v>0.0461</v>
      </c>
      <c r="K896" s="29" t="n">
        <v>0.0627</v>
      </c>
      <c r="L896" s="27" t="n">
        <v>16</v>
      </c>
      <c r="M896" s="27" t="n">
        <v>16102</v>
      </c>
      <c r="N896" s="30" t="n">
        <v>41.87</v>
      </c>
      <c r="O896" s="30" t="n">
        <v>8.57</v>
      </c>
      <c r="P896" s="29" t="n">
        <v>0.0099</v>
      </c>
      <c r="Q896" s="27" t="n">
        <v>365000</v>
      </c>
      <c r="R896" s="27" t="n">
        <v>188501</v>
      </c>
      <c r="S896" s="27" t="n">
        <v>49462</v>
      </c>
      <c r="T896" s="29" t="n">
        <v>0.571</v>
      </c>
      <c r="U896" s="29" t="n">
        <v>0.303</v>
      </c>
      <c r="V896" s="29" t="n">
        <v>0.824</v>
      </c>
      <c r="W896" s="28" t="n">
        <v>13.4</v>
      </c>
    </row>
    <row r="897" customFormat="false" ht="15" hidden="false" customHeight="false" outlineLevel="0" collapsed="false">
      <c r="A897" s="25" t="s">
        <v>1129</v>
      </c>
      <c r="B897" s="25" t="s">
        <v>412</v>
      </c>
      <c r="C897" s="26" t="n">
        <v>46174</v>
      </c>
      <c r="D897" s="27" t="n">
        <v>5648</v>
      </c>
      <c r="E897" s="28" t="n">
        <v>544.1</v>
      </c>
      <c r="F897" s="29" t="n">
        <v>0.0763</v>
      </c>
      <c r="G897" s="29" t="n">
        <v>0.1686</v>
      </c>
      <c r="H897" s="30" t="n">
        <v>12.77</v>
      </c>
      <c r="I897" s="29" t="n">
        <v>0.0174</v>
      </c>
      <c r="J897" s="29" t="n">
        <v>0.0423</v>
      </c>
      <c r="K897" s="29" t="n">
        <v>0.067</v>
      </c>
      <c r="L897" s="27" t="n">
        <v>16</v>
      </c>
      <c r="M897" s="27" t="n">
        <v>16116</v>
      </c>
      <c r="N897" s="30" t="n">
        <v>40.28</v>
      </c>
      <c r="O897" s="30" t="n">
        <v>8.93</v>
      </c>
      <c r="P897" s="29" t="n">
        <v>0.0101</v>
      </c>
      <c r="Q897" s="27" t="n">
        <v>365000</v>
      </c>
      <c r="R897" s="27" t="n">
        <v>185211</v>
      </c>
      <c r="S897" s="27" t="n">
        <v>85373</v>
      </c>
      <c r="T897" s="29" t="n">
        <v>0.637</v>
      </c>
      <c r="U897" s="29" t="n">
        <v>0.307</v>
      </c>
      <c r="V897" s="29" t="n">
        <v>0.806</v>
      </c>
      <c r="W897" s="28" t="n">
        <v>13.2</v>
      </c>
    </row>
    <row r="898" customFormat="false" ht="15" hidden="false" customHeight="false" outlineLevel="0" collapsed="false">
      <c r="A898" s="25" t="s">
        <v>1130</v>
      </c>
      <c r="B898" s="25" t="s">
        <v>412</v>
      </c>
      <c r="C898" s="26" t="n">
        <v>46204</v>
      </c>
      <c r="D898" s="27" t="n">
        <v>7672</v>
      </c>
      <c r="E898" s="28" t="n">
        <v>535.9</v>
      </c>
      <c r="F898" s="29" t="n">
        <v>0.076</v>
      </c>
      <c r="G898" s="29" t="n">
        <v>0.1716</v>
      </c>
      <c r="H898" s="30" t="n">
        <v>12.71</v>
      </c>
      <c r="I898" s="29" t="n">
        <v>0.0195</v>
      </c>
      <c r="J898" s="29" t="n">
        <v>0.0425</v>
      </c>
      <c r="K898" s="29" t="n">
        <v>0.0633</v>
      </c>
      <c r="L898" s="27" t="n">
        <v>16</v>
      </c>
      <c r="M898" s="27" t="n">
        <v>16131</v>
      </c>
      <c r="N898" s="30" t="n">
        <v>38.97</v>
      </c>
      <c r="O898" s="30" t="n">
        <v>8.37</v>
      </c>
      <c r="P898" s="29" t="n">
        <v>0.0095</v>
      </c>
      <c r="Q898" s="27" t="n">
        <v>365000</v>
      </c>
      <c r="R898" s="27" t="n">
        <v>192552</v>
      </c>
      <c r="S898" s="27" t="n">
        <v>100356</v>
      </c>
      <c r="T898" s="29" t="n">
        <v>0.621</v>
      </c>
      <c r="U898" s="29" t="n">
        <v>0.274</v>
      </c>
      <c r="V898" s="29" t="n">
        <v>0.823</v>
      </c>
      <c r="W898" s="28" t="n">
        <v>13.1</v>
      </c>
    </row>
    <row r="899" customFormat="false" ht="15" hidden="false" customHeight="false" outlineLevel="0" collapsed="false">
      <c r="A899" s="25" t="s">
        <v>1131</v>
      </c>
      <c r="B899" s="25" t="s">
        <v>412</v>
      </c>
      <c r="C899" s="26" t="n">
        <v>46235</v>
      </c>
      <c r="D899" s="27" t="n">
        <v>9233</v>
      </c>
      <c r="E899" s="28" t="n">
        <v>537.6</v>
      </c>
      <c r="F899" s="29" t="n">
        <v>0.0725</v>
      </c>
      <c r="G899" s="29" t="n">
        <v>0.168</v>
      </c>
      <c r="H899" s="30" t="n">
        <v>12.21</v>
      </c>
      <c r="I899" s="29" t="n">
        <v>0.0193</v>
      </c>
      <c r="J899" s="29" t="n">
        <v>0.0405</v>
      </c>
      <c r="K899" s="29" t="n">
        <v>0.0693</v>
      </c>
      <c r="L899" s="27" t="n">
        <v>16</v>
      </c>
      <c r="M899" s="27" t="n">
        <v>16145</v>
      </c>
      <c r="N899" s="30" t="n">
        <v>38.87</v>
      </c>
      <c r="O899" s="30" t="n">
        <v>8.56</v>
      </c>
      <c r="P899" s="29" t="n">
        <v>0.0098</v>
      </c>
      <c r="Q899" s="27" t="n">
        <v>365000</v>
      </c>
      <c r="R899" s="27" t="n">
        <v>177806</v>
      </c>
      <c r="S899" s="27" t="n">
        <v>116733</v>
      </c>
      <c r="T899" s="29" t="n">
        <v>0.644</v>
      </c>
      <c r="U899" s="29" t="n">
        <v>0.286</v>
      </c>
      <c r="V899" s="29" t="n">
        <v>0.8</v>
      </c>
      <c r="W899" s="28" t="n">
        <v>13.3</v>
      </c>
    </row>
    <row r="900" customFormat="false" ht="15" hidden="false" customHeight="false" outlineLevel="0" collapsed="false">
      <c r="A900" s="25" t="s">
        <v>1132</v>
      </c>
      <c r="B900" s="25" t="s">
        <v>412</v>
      </c>
      <c r="C900" s="26" t="n">
        <v>46266</v>
      </c>
      <c r="D900" s="27" t="n">
        <v>11113</v>
      </c>
      <c r="E900" s="28" t="n">
        <v>537.8</v>
      </c>
      <c r="F900" s="29" t="n">
        <v>0.0673</v>
      </c>
      <c r="G900" s="29" t="n">
        <v>0.1711</v>
      </c>
      <c r="H900" s="30" t="n">
        <v>12.73</v>
      </c>
      <c r="I900" s="29" t="n">
        <v>0.0211</v>
      </c>
      <c r="J900" s="29" t="n">
        <v>0.041</v>
      </c>
      <c r="K900" s="29" t="n">
        <v>0.0615</v>
      </c>
      <c r="L900" s="27" t="n">
        <v>16</v>
      </c>
      <c r="M900" s="27" t="n">
        <v>16160</v>
      </c>
      <c r="N900" s="30" t="n">
        <v>37.89</v>
      </c>
      <c r="O900" s="30" t="n">
        <v>8.81</v>
      </c>
      <c r="P900" s="29" t="n">
        <v>0.01</v>
      </c>
      <c r="Q900" s="27" t="n">
        <v>365000</v>
      </c>
      <c r="R900" s="27" t="n">
        <v>183951</v>
      </c>
      <c r="S900" s="27" t="n">
        <v>129179</v>
      </c>
      <c r="T900" s="29" t="n">
        <v>0.666</v>
      </c>
      <c r="U900" s="29" t="n">
        <v>0.297</v>
      </c>
      <c r="V900" s="29" t="n">
        <v>0.816</v>
      </c>
      <c r="W900" s="28" t="n">
        <v>12.6</v>
      </c>
    </row>
    <row r="901" customFormat="false" ht="15" hidden="false" customHeight="false" outlineLevel="0" collapsed="false">
      <c r="A901" s="25" t="s">
        <v>1133</v>
      </c>
      <c r="B901" s="25" t="s">
        <v>410</v>
      </c>
      <c r="C901" s="26" t="n">
        <v>45931</v>
      </c>
      <c r="D901" s="27" t="n">
        <v>38801</v>
      </c>
      <c r="E901" s="28" t="n">
        <v>559.6</v>
      </c>
      <c r="F901" s="29" t="n">
        <v>0.0625</v>
      </c>
      <c r="G901" s="29" t="n">
        <v>0.1695</v>
      </c>
      <c r="H901" s="30" t="n">
        <v>12.49</v>
      </c>
      <c r="I901" s="29" t="n">
        <v>0.0295</v>
      </c>
      <c r="J901" s="29" t="n">
        <v>0.0164</v>
      </c>
      <c r="K901" s="29" t="n">
        <v>0.0199</v>
      </c>
      <c r="L901" s="27" t="n">
        <v>33</v>
      </c>
      <c r="M901" s="27" t="n">
        <v>16000</v>
      </c>
      <c r="N901" s="30" t="n">
        <v>31.82</v>
      </c>
      <c r="O901" s="30" t="n">
        <v>8.93</v>
      </c>
      <c r="P901" s="29" t="n">
        <v>0.0097</v>
      </c>
      <c r="Q901" s="27" t="n">
        <v>423500</v>
      </c>
      <c r="R901" s="27" t="n">
        <v>204782</v>
      </c>
      <c r="S901" s="27" t="n">
        <v>191585</v>
      </c>
      <c r="T901" s="29" t="n">
        <v>0.791</v>
      </c>
      <c r="U901" s="29" t="n">
        <v>0.289</v>
      </c>
      <c r="V901" s="29" t="n">
        <v>0.913</v>
      </c>
      <c r="W901" s="28" t="n">
        <v>11.1</v>
      </c>
    </row>
    <row r="902" customFormat="false" ht="15" hidden="false" customHeight="false" outlineLevel="0" collapsed="false">
      <c r="A902" s="25" t="s">
        <v>1134</v>
      </c>
      <c r="B902" s="25" t="s">
        <v>410</v>
      </c>
      <c r="C902" s="26" t="n">
        <v>45962</v>
      </c>
      <c r="D902" s="27" t="n">
        <v>40421</v>
      </c>
      <c r="E902" s="28" t="n">
        <v>544.7</v>
      </c>
      <c r="F902" s="29" t="n">
        <v>0.0626</v>
      </c>
      <c r="G902" s="29" t="n">
        <v>0.1671</v>
      </c>
      <c r="H902" s="30" t="n">
        <v>12.76</v>
      </c>
      <c r="I902" s="29" t="n">
        <v>0.0325</v>
      </c>
      <c r="J902" s="29" t="n">
        <v>0.0194</v>
      </c>
      <c r="K902" s="29" t="n">
        <v>0.027</v>
      </c>
      <c r="L902" s="27" t="n">
        <v>35</v>
      </c>
      <c r="M902" s="27" t="n">
        <v>16015</v>
      </c>
      <c r="N902" s="30" t="n">
        <v>32.28</v>
      </c>
      <c r="O902" s="30" t="n">
        <v>9.17</v>
      </c>
      <c r="P902" s="29" t="n">
        <v>0.0099</v>
      </c>
      <c r="Q902" s="27" t="n">
        <v>423500</v>
      </c>
      <c r="R902" s="27" t="n">
        <v>203416</v>
      </c>
      <c r="S902" s="27" t="n">
        <v>200675</v>
      </c>
      <c r="T902" s="29" t="n">
        <v>0.816</v>
      </c>
      <c r="U902" s="29" t="n">
        <v>0.303</v>
      </c>
      <c r="V902" s="29" t="n">
        <v>0.878</v>
      </c>
      <c r="W902" s="28" t="n">
        <v>11.5</v>
      </c>
    </row>
    <row r="903" customFormat="false" ht="15" hidden="false" customHeight="false" outlineLevel="0" collapsed="false">
      <c r="A903" s="25" t="s">
        <v>1135</v>
      </c>
      <c r="B903" s="25" t="s">
        <v>410</v>
      </c>
      <c r="C903" s="26" t="n">
        <v>45992</v>
      </c>
      <c r="D903" s="27" t="n">
        <v>41293</v>
      </c>
      <c r="E903" s="28" t="n">
        <v>544.8</v>
      </c>
      <c r="F903" s="29" t="n">
        <v>0.0629</v>
      </c>
      <c r="G903" s="29" t="n">
        <v>0.1669</v>
      </c>
      <c r="H903" s="30" t="n">
        <v>11.63</v>
      </c>
      <c r="I903" s="29" t="n">
        <v>0.033</v>
      </c>
      <c r="J903" s="29" t="n">
        <v>0.0196</v>
      </c>
      <c r="K903" s="29" t="n">
        <v>0.027</v>
      </c>
      <c r="L903" s="27" t="n">
        <v>36</v>
      </c>
      <c r="M903" s="27" t="n">
        <v>16029</v>
      </c>
      <c r="N903" s="30" t="n">
        <v>31.2</v>
      </c>
      <c r="O903" s="30" t="n">
        <v>9.21</v>
      </c>
      <c r="P903" s="29" t="n">
        <v>0.0102</v>
      </c>
      <c r="Q903" s="27" t="n">
        <v>423500</v>
      </c>
      <c r="R903" s="27" t="n">
        <v>201868</v>
      </c>
      <c r="S903" s="27" t="n">
        <v>218416</v>
      </c>
      <c r="T903" s="29" t="n">
        <v>0.775</v>
      </c>
      <c r="U903" s="29" t="n">
        <v>0.287</v>
      </c>
      <c r="V903" s="29" t="n">
        <v>0.892</v>
      </c>
      <c r="W903" s="28" t="n">
        <v>11.7</v>
      </c>
    </row>
    <row r="904" customFormat="false" ht="15" hidden="false" customHeight="false" outlineLevel="0" collapsed="false">
      <c r="A904" s="25" t="s">
        <v>1136</v>
      </c>
      <c r="B904" s="25" t="s">
        <v>410</v>
      </c>
      <c r="C904" s="26" t="n">
        <v>46023</v>
      </c>
      <c r="D904" s="27" t="n">
        <v>39843</v>
      </c>
      <c r="E904" s="28" t="n">
        <v>547.7</v>
      </c>
      <c r="F904" s="29" t="n">
        <v>0.0544</v>
      </c>
      <c r="G904" s="29" t="n">
        <v>0.1706</v>
      </c>
      <c r="H904" s="30" t="n">
        <v>12.93</v>
      </c>
      <c r="I904" s="29" t="n">
        <v>0.0321</v>
      </c>
      <c r="J904" s="29" t="n">
        <v>0.0183</v>
      </c>
      <c r="K904" s="29" t="n">
        <v>0.0299</v>
      </c>
      <c r="L904" s="27" t="n">
        <v>33</v>
      </c>
      <c r="M904" s="27" t="n">
        <v>16044</v>
      </c>
      <c r="N904" s="30" t="n">
        <v>32.32</v>
      </c>
      <c r="O904" s="30" t="n">
        <v>9.12</v>
      </c>
      <c r="P904" s="29" t="n">
        <v>0.0099</v>
      </c>
      <c r="Q904" s="27" t="n">
        <v>423500</v>
      </c>
      <c r="R904" s="27" t="n">
        <v>196669</v>
      </c>
      <c r="S904" s="27" t="n">
        <v>178482</v>
      </c>
      <c r="T904" s="29" t="n">
        <v>0.798</v>
      </c>
      <c r="U904" s="29" t="n">
        <v>0.305</v>
      </c>
      <c r="V904" s="29" t="n">
        <v>0.871</v>
      </c>
      <c r="W904" s="28" t="n">
        <v>12.3</v>
      </c>
    </row>
    <row r="905" customFormat="false" ht="15" hidden="false" customHeight="false" outlineLevel="0" collapsed="false">
      <c r="A905" s="25" t="s">
        <v>1137</v>
      </c>
      <c r="B905" s="25" t="s">
        <v>410</v>
      </c>
      <c r="C905" s="26" t="n">
        <v>46054</v>
      </c>
      <c r="D905" s="27" t="n">
        <v>35814</v>
      </c>
      <c r="E905" s="28" t="n">
        <v>543.5</v>
      </c>
      <c r="F905" s="29" t="n">
        <v>0.0622</v>
      </c>
      <c r="G905" s="29" t="n">
        <v>0.1668</v>
      </c>
      <c r="H905" s="30" t="n">
        <v>12.29</v>
      </c>
      <c r="I905" s="29" t="n">
        <v>0.0339</v>
      </c>
      <c r="J905" s="29" t="n">
        <v>0.0202</v>
      </c>
      <c r="K905" s="29" t="n">
        <v>0.025</v>
      </c>
      <c r="L905" s="27" t="n">
        <v>34</v>
      </c>
      <c r="M905" s="27" t="n">
        <v>16058</v>
      </c>
      <c r="N905" s="30" t="n">
        <v>31.64</v>
      </c>
      <c r="O905" s="30" t="n">
        <v>8.79</v>
      </c>
      <c r="P905" s="29" t="n">
        <v>0.0096</v>
      </c>
      <c r="Q905" s="27" t="n">
        <v>423500</v>
      </c>
      <c r="R905" s="27" t="n">
        <v>201518</v>
      </c>
      <c r="S905" s="27" t="n">
        <v>154182</v>
      </c>
      <c r="T905" s="29" t="n">
        <v>0.8</v>
      </c>
      <c r="U905" s="29" t="n">
        <v>0.3</v>
      </c>
      <c r="V905" s="29" t="n">
        <v>0.897</v>
      </c>
      <c r="W905" s="28" t="n">
        <v>11.8</v>
      </c>
    </row>
    <row r="906" customFormat="false" ht="15" hidden="false" customHeight="false" outlineLevel="0" collapsed="false">
      <c r="A906" s="25" t="s">
        <v>1138</v>
      </c>
      <c r="B906" s="25" t="s">
        <v>410</v>
      </c>
      <c r="C906" s="26" t="n">
        <v>46082</v>
      </c>
      <c r="D906" s="27" t="n">
        <v>41992</v>
      </c>
      <c r="E906" s="28" t="n">
        <v>526.3</v>
      </c>
      <c r="F906" s="29" t="n">
        <v>0.061</v>
      </c>
      <c r="G906" s="29" t="n">
        <v>0.166</v>
      </c>
      <c r="H906" s="30" t="n">
        <v>12.22</v>
      </c>
      <c r="I906" s="29" t="n">
        <v>0.0315</v>
      </c>
      <c r="J906" s="29" t="n">
        <v>0.0194</v>
      </c>
      <c r="K906" s="29" t="n">
        <v>0.0312</v>
      </c>
      <c r="L906" s="27" t="n">
        <v>35</v>
      </c>
      <c r="M906" s="27" t="n">
        <v>16073</v>
      </c>
      <c r="N906" s="30" t="n">
        <v>30.8</v>
      </c>
      <c r="O906" s="30" t="n">
        <v>8.47</v>
      </c>
      <c r="P906" s="29" t="n">
        <v>0.0095</v>
      </c>
      <c r="Q906" s="27" t="n">
        <v>423500</v>
      </c>
      <c r="R906" s="27" t="n">
        <v>200832</v>
      </c>
      <c r="S906" s="27" t="n">
        <v>172430</v>
      </c>
      <c r="T906" s="29" t="n">
        <v>0.81</v>
      </c>
      <c r="U906" s="29" t="n">
        <v>0.304</v>
      </c>
      <c r="V906" s="29" t="n">
        <v>0.859</v>
      </c>
      <c r="W906" s="28" t="n">
        <v>12.2</v>
      </c>
    </row>
    <row r="907" customFormat="false" ht="15" hidden="false" customHeight="false" outlineLevel="0" collapsed="false">
      <c r="A907" s="25" t="s">
        <v>1139</v>
      </c>
      <c r="B907" s="25" t="s">
        <v>410</v>
      </c>
      <c r="C907" s="26" t="n">
        <v>46113</v>
      </c>
      <c r="D907" s="27" t="n">
        <v>44912</v>
      </c>
      <c r="E907" s="28" t="n">
        <v>546.5</v>
      </c>
      <c r="F907" s="29" t="n">
        <v>0.0567</v>
      </c>
      <c r="G907" s="29" t="n">
        <v>0.1679</v>
      </c>
      <c r="H907" s="30" t="n">
        <v>11.63</v>
      </c>
      <c r="I907" s="29" t="n">
        <v>0.0324</v>
      </c>
      <c r="J907" s="29" t="n">
        <v>0.0176</v>
      </c>
      <c r="K907" s="29" t="n">
        <v>0.0277</v>
      </c>
      <c r="L907" s="27" t="n">
        <v>41</v>
      </c>
      <c r="M907" s="27" t="n">
        <v>16087</v>
      </c>
      <c r="N907" s="30" t="n">
        <v>31.81</v>
      </c>
      <c r="O907" s="30" t="n">
        <v>8.89</v>
      </c>
      <c r="P907" s="29" t="n">
        <v>0.0101</v>
      </c>
      <c r="Q907" s="27" t="n">
        <v>423500</v>
      </c>
      <c r="R907" s="27" t="n">
        <v>197337</v>
      </c>
      <c r="S907" s="27" t="n">
        <v>192039</v>
      </c>
      <c r="T907" s="29" t="n">
        <v>0.809</v>
      </c>
      <c r="U907" s="29" t="n">
        <v>0.293</v>
      </c>
      <c r="V907" s="29" t="n">
        <v>0.893</v>
      </c>
      <c r="W907" s="28" t="n">
        <v>11.4</v>
      </c>
    </row>
    <row r="908" customFormat="false" ht="15" hidden="false" customHeight="false" outlineLevel="0" collapsed="false">
      <c r="A908" s="25" t="s">
        <v>1140</v>
      </c>
      <c r="B908" s="25" t="s">
        <v>410</v>
      </c>
      <c r="C908" s="26" t="n">
        <v>46143</v>
      </c>
      <c r="D908" s="27" t="n">
        <v>46721</v>
      </c>
      <c r="E908" s="28" t="n">
        <v>538.2</v>
      </c>
      <c r="F908" s="29" t="n">
        <v>0.0609</v>
      </c>
      <c r="G908" s="29" t="n">
        <v>0.1667</v>
      </c>
      <c r="H908" s="30" t="n">
        <v>12.24</v>
      </c>
      <c r="I908" s="29" t="n">
        <v>0.0323</v>
      </c>
      <c r="J908" s="29" t="n">
        <v>0.0195</v>
      </c>
      <c r="K908" s="29" t="n">
        <v>0.0214</v>
      </c>
      <c r="L908" s="27" t="n">
        <v>40</v>
      </c>
      <c r="M908" s="27" t="n">
        <v>16102</v>
      </c>
      <c r="N908" s="30" t="n">
        <v>31.74</v>
      </c>
      <c r="O908" s="30" t="n">
        <v>8.7</v>
      </c>
      <c r="P908" s="29" t="n">
        <v>0.0103</v>
      </c>
      <c r="Q908" s="27" t="n">
        <v>423500</v>
      </c>
      <c r="R908" s="27" t="n">
        <v>205355</v>
      </c>
      <c r="S908" s="27" t="n">
        <v>198170</v>
      </c>
      <c r="T908" s="29" t="n">
        <v>0.83</v>
      </c>
      <c r="U908" s="29" t="n">
        <v>0.311</v>
      </c>
      <c r="V908" s="29" t="n">
        <v>0.887</v>
      </c>
      <c r="W908" s="28" t="n">
        <v>11.7</v>
      </c>
    </row>
    <row r="909" customFormat="false" ht="15" hidden="false" customHeight="false" outlineLevel="0" collapsed="false">
      <c r="A909" s="25" t="s">
        <v>1141</v>
      </c>
      <c r="B909" s="25" t="s">
        <v>410</v>
      </c>
      <c r="C909" s="26" t="n">
        <v>46174</v>
      </c>
      <c r="D909" s="27" t="n">
        <v>46058</v>
      </c>
      <c r="E909" s="28" t="n">
        <v>535.1</v>
      </c>
      <c r="F909" s="29" t="n">
        <v>0.0559</v>
      </c>
      <c r="G909" s="29" t="n">
        <v>0.1673</v>
      </c>
      <c r="H909" s="30" t="n">
        <v>12.55</v>
      </c>
      <c r="I909" s="29" t="n">
        <v>0.0343</v>
      </c>
      <c r="J909" s="29" t="n">
        <v>0.0193</v>
      </c>
      <c r="K909" s="29" t="n">
        <v>0.0247</v>
      </c>
      <c r="L909" s="27" t="n">
        <v>41</v>
      </c>
      <c r="M909" s="27" t="n">
        <v>16116</v>
      </c>
      <c r="N909" s="30" t="n">
        <v>32.04</v>
      </c>
      <c r="O909" s="30" t="n">
        <v>8.96</v>
      </c>
      <c r="P909" s="29" t="n">
        <v>0.0098</v>
      </c>
      <c r="Q909" s="27" t="n">
        <v>423500</v>
      </c>
      <c r="R909" s="27" t="n">
        <v>204538</v>
      </c>
      <c r="S909" s="27" t="n">
        <v>161743</v>
      </c>
      <c r="T909" s="29" t="n">
        <v>0.835</v>
      </c>
      <c r="U909" s="29" t="n">
        <v>0.294</v>
      </c>
      <c r="V909" s="29" t="n">
        <v>0.881</v>
      </c>
      <c r="W909" s="28" t="n">
        <v>12.1</v>
      </c>
    </row>
    <row r="910" customFormat="false" ht="15" hidden="false" customHeight="false" outlineLevel="0" collapsed="false">
      <c r="A910" s="25" t="s">
        <v>1142</v>
      </c>
      <c r="B910" s="25" t="s">
        <v>410</v>
      </c>
      <c r="C910" s="26" t="n">
        <v>46204</v>
      </c>
      <c r="D910" s="27" t="n">
        <v>47321</v>
      </c>
      <c r="E910" s="28" t="n">
        <v>525</v>
      </c>
      <c r="F910" s="29" t="n">
        <v>0.0608</v>
      </c>
      <c r="G910" s="29" t="n">
        <v>0.1688</v>
      </c>
      <c r="H910" s="30" t="n">
        <v>12.23</v>
      </c>
      <c r="I910" s="29" t="n">
        <v>0.033</v>
      </c>
      <c r="J910" s="29" t="n">
        <v>0.0186</v>
      </c>
      <c r="K910" s="29" t="n">
        <v>0.0232</v>
      </c>
      <c r="L910" s="27" t="n">
        <v>42</v>
      </c>
      <c r="M910" s="27" t="n">
        <v>16131</v>
      </c>
      <c r="N910" s="30" t="n">
        <v>30.83</v>
      </c>
      <c r="O910" s="30" t="n">
        <v>8.68</v>
      </c>
      <c r="P910" s="29" t="n">
        <v>0.0103</v>
      </c>
      <c r="Q910" s="27" t="n">
        <v>423500</v>
      </c>
      <c r="R910" s="27" t="n">
        <v>198266</v>
      </c>
      <c r="S910" s="27" t="n">
        <v>191066</v>
      </c>
      <c r="T910" s="29" t="n">
        <v>0.841</v>
      </c>
      <c r="U910" s="29" t="n">
        <v>0.29</v>
      </c>
      <c r="V910" s="29" t="n">
        <v>0.885</v>
      </c>
      <c r="W910" s="28" t="n">
        <v>11.7</v>
      </c>
    </row>
    <row r="911" customFormat="false" ht="15" hidden="false" customHeight="false" outlineLevel="0" collapsed="false">
      <c r="A911" s="25" t="s">
        <v>1143</v>
      </c>
      <c r="B911" s="25" t="s">
        <v>410</v>
      </c>
      <c r="C911" s="26" t="n">
        <v>46235</v>
      </c>
      <c r="D911" s="27" t="n">
        <v>47015</v>
      </c>
      <c r="E911" s="28" t="n">
        <v>552.3</v>
      </c>
      <c r="F911" s="29" t="n">
        <v>0.0579</v>
      </c>
      <c r="G911" s="29" t="n">
        <v>0.1679</v>
      </c>
      <c r="H911" s="30" t="n">
        <v>12.25</v>
      </c>
      <c r="I911" s="29" t="n">
        <v>0.0331</v>
      </c>
      <c r="J911" s="29" t="n">
        <v>0.0178</v>
      </c>
      <c r="K911" s="29" t="n">
        <v>0.0254</v>
      </c>
      <c r="L911" s="27" t="n">
        <v>40</v>
      </c>
      <c r="M911" s="27" t="n">
        <v>16145</v>
      </c>
      <c r="N911" s="30" t="n">
        <v>31.34</v>
      </c>
      <c r="O911" s="30" t="n">
        <v>8.73</v>
      </c>
      <c r="P911" s="29" t="n">
        <v>0.0097</v>
      </c>
      <c r="Q911" s="27" t="n">
        <v>423500</v>
      </c>
      <c r="R911" s="27" t="n">
        <v>215967</v>
      </c>
      <c r="S911" s="27" t="n">
        <v>232109</v>
      </c>
      <c r="T911" s="29" t="n">
        <v>0.803</v>
      </c>
      <c r="U911" s="29" t="n">
        <v>0.284</v>
      </c>
      <c r="V911" s="29" t="n">
        <v>0.904</v>
      </c>
      <c r="W911" s="28" t="n">
        <v>11.5</v>
      </c>
    </row>
    <row r="912" customFormat="false" ht="15" hidden="false" customHeight="false" outlineLevel="0" collapsed="false">
      <c r="A912" s="25" t="s">
        <v>1144</v>
      </c>
      <c r="B912" s="25" t="s">
        <v>410</v>
      </c>
      <c r="C912" s="26" t="n">
        <v>46266</v>
      </c>
      <c r="D912" s="27" t="n">
        <v>44613</v>
      </c>
      <c r="E912" s="28" t="n">
        <v>556.2</v>
      </c>
      <c r="F912" s="29" t="n">
        <v>0.0582</v>
      </c>
      <c r="G912" s="29" t="n">
        <v>0.1687</v>
      </c>
      <c r="H912" s="30" t="n">
        <v>12.51</v>
      </c>
      <c r="I912" s="29" t="n">
        <v>0.0335</v>
      </c>
      <c r="J912" s="29" t="n">
        <v>0.0194</v>
      </c>
      <c r="K912" s="29" t="n">
        <v>0.0285</v>
      </c>
      <c r="L912" s="27" t="n">
        <v>40</v>
      </c>
      <c r="M912" s="27" t="n">
        <v>16160</v>
      </c>
      <c r="N912" s="30" t="n">
        <v>31.64</v>
      </c>
      <c r="O912" s="30" t="n">
        <v>9.08</v>
      </c>
      <c r="P912" s="29" t="n">
        <v>0.0102</v>
      </c>
      <c r="Q912" s="27" t="n">
        <v>423500</v>
      </c>
      <c r="R912" s="27" t="n">
        <v>197373</v>
      </c>
      <c r="S912" s="27" t="n">
        <v>182786</v>
      </c>
      <c r="T912" s="29" t="n">
        <v>0.833</v>
      </c>
      <c r="U912" s="29" t="n">
        <v>0.287</v>
      </c>
      <c r="V912" s="29" t="n">
        <v>0.881</v>
      </c>
      <c r="W912" s="28" t="n">
        <v>11.7</v>
      </c>
    </row>
    <row r="913" customFormat="false" ht="15" hidden="false" customHeight="false" outlineLevel="0" collapsed="false">
      <c r="A913" s="25" t="s">
        <v>1145</v>
      </c>
      <c r="B913" s="25" t="s">
        <v>414</v>
      </c>
      <c r="C913" s="26" t="n">
        <v>45931</v>
      </c>
      <c r="D913" s="27" t="n">
        <v>13155</v>
      </c>
      <c r="E913" s="28" t="n">
        <v>609.3</v>
      </c>
      <c r="F913" s="29" t="n">
        <v>0.0765</v>
      </c>
      <c r="G913" s="29" t="n">
        <v>0.1686</v>
      </c>
      <c r="H913" s="30" t="n">
        <v>10.64</v>
      </c>
      <c r="I913" s="29" t="n">
        <v>0.0211</v>
      </c>
      <c r="J913" s="29" t="n">
        <v>0.0431</v>
      </c>
      <c r="K913" s="29" t="n">
        <v>0.073</v>
      </c>
      <c r="L913" s="27" t="n">
        <v>16</v>
      </c>
      <c r="M913" s="27" t="n">
        <v>16000</v>
      </c>
      <c r="N913" s="30" t="n">
        <v>33.63</v>
      </c>
      <c r="O913" s="30" t="n">
        <v>8.65</v>
      </c>
      <c r="P913" s="29" t="n">
        <v>0.0102</v>
      </c>
      <c r="Q913" s="27" t="n">
        <v>188000</v>
      </c>
      <c r="R913" s="27" t="n">
        <v>171182</v>
      </c>
      <c r="S913" s="27" t="n">
        <v>147665</v>
      </c>
      <c r="T913" s="29" t="n">
        <v>0.718</v>
      </c>
      <c r="U913" s="29" t="n">
        <v>0.157</v>
      </c>
      <c r="V913" s="29" t="n">
        <v>0.818</v>
      </c>
      <c r="W913" s="28" t="n">
        <v>13.3</v>
      </c>
    </row>
    <row r="914" customFormat="false" ht="15" hidden="false" customHeight="false" outlineLevel="0" collapsed="false">
      <c r="A914" s="25" t="s">
        <v>1146</v>
      </c>
      <c r="B914" s="25" t="s">
        <v>414</v>
      </c>
      <c r="C914" s="26" t="n">
        <v>45962</v>
      </c>
      <c r="D914" s="27" t="n">
        <v>14580</v>
      </c>
      <c r="E914" s="28" t="n">
        <v>603.6</v>
      </c>
      <c r="F914" s="29" t="n">
        <v>0.0726</v>
      </c>
      <c r="G914" s="29" t="n">
        <v>0.1692</v>
      </c>
      <c r="H914" s="30" t="n">
        <v>11.24</v>
      </c>
      <c r="I914" s="29" t="n">
        <v>0.0221</v>
      </c>
      <c r="J914" s="29" t="n">
        <v>0.0415</v>
      </c>
      <c r="K914" s="29" t="n">
        <v>0.0645</v>
      </c>
      <c r="L914" s="27" t="n">
        <v>16</v>
      </c>
      <c r="M914" s="27" t="n">
        <v>16015</v>
      </c>
      <c r="N914" s="30" t="n">
        <v>32.72</v>
      </c>
      <c r="O914" s="30" t="n">
        <v>8.71</v>
      </c>
      <c r="P914" s="29" t="n">
        <v>0.0101</v>
      </c>
      <c r="Q914" s="27" t="n">
        <v>188000</v>
      </c>
      <c r="R914" s="27" t="n">
        <v>170549</v>
      </c>
      <c r="S914" s="27" t="n">
        <v>145573</v>
      </c>
      <c r="T914" s="29" t="n">
        <v>0.69</v>
      </c>
      <c r="U914" s="29" t="n">
        <v>0.175</v>
      </c>
      <c r="V914" s="29" t="n">
        <v>0.808</v>
      </c>
      <c r="W914" s="28" t="n">
        <v>12.9</v>
      </c>
    </row>
    <row r="915" customFormat="false" ht="15" hidden="false" customHeight="false" outlineLevel="0" collapsed="false">
      <c r="A915" s="25" t="s">
        <v>1147</v>
      </c>
      <c r="B915" s="25" t="s">
        <v>414</v>
      </c>
      <c r="C915" s="26" t="n">
        <v>45992</v>
      </c>
      <c r="D915" s="27" t="n">
        <v>15042</v>
      </c>
      <c r="E915" s="28" t="n">
        <v>616.3</v>
      </c>
      <c r="F915" s="29" t="n">
        <v>0.0708</v>
      </c>
      <c r="G915" s="29" t="n">
        <v>0.1691</v>
      </c>
      <c r="H915" s="30" t="n">
        <v>10.83</v>
      </c>
      <c r="I915" s="29" t="n">
        <v>0.0216</v>
      </c>
      <c r="J915" s="29" t="n">
        <v>0.042</v>
      </c>
      <c r="K915" s="29" t="n">
        <v>0.0778</v>
      </c>
      <c r="L915" s="27" t="n">
        <v>16</v>
      </c>
      <c r="M915" s="27" t="n">
        <v>16029</v>
      </c>
      <c r="N915" s="30" t="n">
        <v>33.11</v>
      </c>
      <c r="O915" s="30" t="n">
        <v>8.87</v>
      </c>
      <c r="P915" s="29" t="n">
        <v>0.0097</v>
      </c>
      <c r="Q915" s="27" t="n">
        <v>188000</v>
      </c>
      <c r="R915" s="27" t="n">
        <v>168050</v>
      </c>
      <c r="S915" s="27" t="n">
        <v>138552</v>
      </c>
      <c r="T915" s="29" t="n">
        <v>0.721</v>
      </c>
      <c r="U915" s="29" t="n">
        <v>0.172</v>
      </c>
      <c r="V915" s="29" t="n">
        <v>0.817</v>
      </c>
      <c r="W915" s="28" t="n">
        <v>12.9</v>
      </c>
    </row>
    <row r="916" customFormat="false" ht="15" hidden="false" customHeight="false" outlineLevel="0" collapsed="false">
      <c r="A916" s="25" t="s">
        <v>1148</v>
      </c>
      <c r="B916" s="25" t="s">
        <v>414</v>
      </c>
      <c r="C916" s="26" t="n">
        <v>46023</v>
      </c>
      <c r="D916" s="27" t="n">
        <v>16128</v>
      </c>
      <c r="E916" s="28" t="n">
        <v>609.7</v>
      </c>
      <c r="F916" s="29" t="n">
        <v>0.0732</v>
      </c>
      <c r="G916" s="29" t="n">
        <v>0.1686</v>
      </c>
      <c r="H916" s="30" t="n">
        <v>10.3</v>
      </c>
      <c r="I916" s="29" t="n">
        <v>0.0231</v>
      </c>
      <c r="J916" s="29" t="n">
        <v>0.0388</v>
      </c>
      <c r="K916" s="29" t="n">
        <v>0.0737</v>
      </c>
      <c r="L916" s="27" t="n">
        <v>16</v>
      </c>
      <c r="M916" s="27" t="n">
        <v>16044</v>
      </c>
      <c r="N916" s="30" t="n">
        <v>33.48</v>
      </c>
      <c r="O916" s="30" t="n">
        <v>8.82</v>
      </c>
      <c r="P916" s="29" t="n">
        <v>0.0101</v>
      </c>
      <c r="Q916" s="27" t="n">
        <v>188000</v>
      </c>
      <c r="R916" s="27" t="n">
        <v>156093</v>
      </c>
      <c r="S916" s="27" t="n">
        <v>140212</v>
      </c>
      <c r="T916" s="29" t="n">
        <v>0.718</v>
      </c>
      <c r="U916" s="29" t="n">
        <v>0.182</v>
      </c>
      <c r="V916" s="29" t="n">
        <v>0.816</v>
      </c>
      <c r="W916" s="28" t="n">
        <v>12.6</v>
      </c>
    </row>
    <row r="917" customFormat="false" ht="15" hidden="false" customHeight="false" outlineLevel="0" collapsed="false">
      <c r="A917" s="25" t="s">
        <v>1149</v>
      </c>
      <c r="B917" s="25" t="s">
        <v>414</v>
      </c>
      <c r="C917" s="26" t="n">
        <v>46054</v>
      </c>
      <c r="D917" s="27" t="n">
        <v>15011</v>
      </c>
      <c r="E917" s="28" t="n">
        <v>605.7</v>
      </c>
      <c r="F917" s="29" t="n">
        <v>0.0698</v>
      </c>
      <c r="G917" s="29" t="n">
        <v>0.1687</v>
      </c>
      <c r="H917" s="30" t="n">
        <v>10.99</v>
      </c>
      <c r="I917" s="29" t="n">
        <v>0.0221</v>
      </c>
      <c r="J917" s="29" t="n">
        <v>0.0393</v>
      </c>
      <c r="K917" s="29" t="n">
        <v>0.0785</v>
      </c>
      <c r="L917" s="27" t="n">
        <v>16</v>
      </c>
      <c r="M917" s="27" t="n">
        <v>16058</v>
      </c>
      <c r="N917" s="30" t="n">
        <v>32.75</v>
      </c>
      <c r="O917" s="30" t="n">
        <v>8.81</v>
      </c>
      <c r="P917" s="29" t="n">
        <v>0.0096</v>
      </c>
      <c r="Q917" s="27" t="n">
        <v>188000</v>
      </c>
      <c r="R917" s="27" t="n">
        <v>156229</v>
      </c>
      <c r="S917" s="27" t="n">
        <v>129642</v>
      </c>
      <c r="T917" s="29" t="n">
        <v>0.754</v>
      </c>
      <c r="U917" s="29" t="n">
        <v>0.165</v>
      </c>
      <c r="V917" s="29" t="n">
        <v>0.811</v>
      </c>
      <c r="W917" s="28" t="n">
        <v>13.1</v>
      </c>
    </row>
    <row r="918" customFormat="false" ht="15" hidden="false" customHeight="false" outlineLevel="0" collapsed="false">
      <c r="A918" s="25" t="s">
        <v>1150</v>
      </c>
      <c r="B918" s="25" t="s">
        <v>414</v>
      </c>
      <c r="C918" s="26" t="n">
        <v>46082</v>
      </c>
      <c r="D918" s="27" t="n">
        <v>18151</v>
      </c>
      <c r="E918" s="28" t="n">
        <v>622.9</v>
      </c>
      <c r="F918" s="29" t="n">
        <v>0.0667</v>
      </c>
      <c r="G918" s="29" t="n">
        <v>0.1664</v>
      </c>
      <c r="H918" s="30" t="n">
        <v>10.69</v>
      </c>
      <c r="I918" s="29" t="n">
        <v>0.0243</v>
      </c>
      <c r="J918" s="29" t="n">
        <v>0.0389</v>
      </c>
      <c r="K918" s="29" t="n">
        <v>0.0716</v>
      </c>
      <c r="L918" s="27" t="n">
        <v>16</v>
      </c>
      <c r="M918" s="27" t="n">
        <v>16073</v>
      </c>
      <c r="N918" s="30" t="n">
        <v>32.41</v>
      </c>
      <c r="O918" s="30" t="n">
        <v>9.05</v>
      </c>
      <c r="P918" s="29" t="n">
        <v>0.0102</v>
      </c>
      <c r="Q918" s="27" t="n">
        <v>188000</v>
      </c>
      <c r="R918" s="27" t="n">
        <v>163897</v>
      </c>
      <c r="S918" s="27" t="n">
        <v>151538</v>
      </c>
      <c r="T918" s="29" t="n">
        <v>0.759</v>
      </c>
      <c r="U918" s="29" t="n">
        <v>0.172</v>
      </c>
      <c r="V918" s="29" t="n">
        <v>0.802</v>
      </c>
      <c r="W918" s="28" t="n">
        <v>13.2</v>
      </c>
    </row>
    <row r="919" customFormat="false" ht="15" hidden="false" customHeight="false" outlineLevel="0" collapsed="false">
      <c r="A919" s="25" t="s">
        <v>1151</v>
      </c>
      <c r="B919" s="25" t="s">
        <v>414</v>
      </c>
      <c r="C919" s="26" t="n">
        <v>46113</v>
      </c>
      <c r="D919" s="27" t="n">
        <v>17950</v>
      </c>
      <c r="E919" s="28" t="n">
        <v>614.6</v>
      </c>
      <c r="F919" s="29" t="n">
        <v>0.0721</v>
      </c>
      <c r="G919" s="29" t="n">
        <v>0.1695</v>
      </c>
      <c r="H919" s="30" t="n">
        <v>10.93</v>
      </c>
      <c r="I919" s="29" t="n">
        <v>0.0249</v>
      </c>
      <c r="J919" s="29" t="n">
        <v>0.0382</v>
      </c>
      <c r="K919" s="29" t="n">
        <v>0.0749</v>
      </c>
      <c r="L919" s="27" t="n">
        <v>16</v>
      </c>
      <c r="M919" s="27" t="n">
        <v>16087</v>
      </c>
      <c r="N919" s="30" t="n">
        <v>32.47</v>
      </c>
      <c r="O919" s="30" t="n">
        <v>8.59</v>
      </c>
      <c r="P919" s="29" t="n">
        <v>0.0096</v>
      </c>
      <c r="Q919" s="27" t="n">
        <v>188000</v>
      </c>
      <c r="R919" s="27" t="n">
        <v>162729</v>
      </c>
      <c r="S919" s="27" t="n">
        <v>123408</v>
      </c>
      <c r="T919" s="29" t="n">
        <v>0.75</v>
      </c>
      <c r="U919" s="29" t="n">
        <v>0.161</v>
      </c>
      <c r="V919" s="29" t="n">
        <v>0.819</v>
      </c>
      <c r="W919" s="28" t="n">
        <v>12.8</v>
      </c>
    </row>
    <row r="920" customFormat="false" ht="15" hidden="false" customHeight="false" outlineLevel="0" collapsed="false">
      <c r="A920" s="25" t="s">
        <v>1152</v>
      </c>
      <c r="B920" s="25" t="s">
        <v>414</v>
      </c>
      <c r="C920" s="26" t="n">
        <v>46143</v>
      </c>
      <c r="D920" s="27" t="n">
        <v>21292</v>
      </c>
      <c r="E920" s="28" t="n">
        <v>612.7</v>
      </c>
      <c r="F920" s="29" t="n">
        <v>0.0658</v>
      </c>
      <c r="G920" s="29" t="n">
        <v>0.17</v>
      </c>
      <c r="H920" s="30" t="n">
        <v>10.78</v>
      </c>
      <c r="I920" s="29" t="n">
        <v>0.0245</v>
      </c>
      <c r="J920" s="29" t="n">
        <v>0.0364</v>
      </c>
      <c r="K920" s="29" t="n">
        <v>0.0683</v>
      </c>
      <c r="L920" s="27" t="n">
        <v>16</v>
      </c>
      <c r="M920" s="27" t="n">
        <v>16102</v>
      </c>
      <c r="N920" s="30" t="n">
        <v>32.3</v>
      </c>
      <c r="O920" s="30" t="n">
        <v>8.78</v>
      </c>
      <c r="P920" s="29" t="n">
        <v>0.0096</v>
      </c>
      <c r="Q920" s="27" t="n">
        <v>188000</v>
      </c>
      <c r="R920" s="27" t="n">
        <v>167192</v>
      </c>
      <c r="S920" s="27" t="n">
        <v>153720</v>
      </c>
      <c r="T920" s="29" t="n">
        <v>0.776</v>
      </c>
      <c r="U920" s="29" t="n">
        <v>0.169</v>
      </c>
      <c r="V920" s="29" t="n">
        <v>0.816</v>
      </c>
      <c r="W920" s="28" t="n">
        <v>13.4</v>
      </c>
    </row>
    <row r="921" customFormat="false" ht="15" hidden="false" customHeight="false" outlineLevel="0" collapsed="false">
      <c r="A921" s="25" t="s">
        <v>1153</v>
      </c>
      <c r="B921" s="25" t="s">
        <v>414</v>
      </c>
      <c r="C921" s="26" t="n">
        <v>46174</v>
      </c>
      <c r="D921" s="27" t="n">
        <v>21173</v>
      </c>
      <c r="E921" s="28" t="n">
        <v>609</v>
      </c>
      <c r="F921" s="29" t="n">
        <v>0.0667</v>
      </c>
      <c r="G921" s="29" t="n">
        <v>0.1697</v>
      </c>
      <c r="H921" s="30" t="n">
        <v>10.94</v>
      </c>
      <c r="I921" s="29" t="n">
        <v>0.0252</v>
      </c>
      <c r="J921" s="29" t="n">
        <v>0.0361</v>
      </c>
      <c r="K921" s="29" t="n">
        <v>0.0703</v>
      </c>
      <c r="L921" s="27" t="n">
        <v>16</v>
      </c>
      <c r="M921" s="27" t="n">
        <v>16116</v>
      </c>
      <c r="N921" s="30" t="n">
        <v>31.21</v>
      </c>
      <c r="O921" s="30" t="n">
        <v>9.16</v>
      </c>
      <c r="P921" s="29" t="n">
        <v>0.01</v>
      </c>
      <c r="Q921" s="27" t="n">
        <v>188000</v>
      </c>
      <c r="R921" s="27" t="n">
        <v>163048</v>
      </c>
      <c r="S921" s="27" t="n">
        <v>136312</v>
      </c>
      <c r="T921" s="29" t="n">
        <v>0.771</v>
      </c>
      <c r="U921" s="29" t="n">
        <v>0.164</v>
      </c>
      <c r="V921" s="29" t="n">
        <v>0.812</v>
      </c>
      <c r="W921" s="28" t="n">
        <v>13</v>
      </c>
    </row>
    <row r="922" customFormat="false" ht="15" hidden="false" customHeight="false" outlineLevel="0" collapsed="false">
      <c r="A922" s="25" t="s">
        <v>1154</v>
      </c>
      <c r="B922" s="25" t="s">
        <v>414</v>
      </c>
      <c r="C922" s="26" t="n">
        <v>46204</v>
      </c>
      <c r="D922" s="27" t="n">
        <v>20547</v>
      </c>
      <c r="E922" s="28" t="n">
        <v>601.9</v>
      </c>
      <c r="F922" s="29" t="n">
        <v>0.0626</v>
      </c>
      <c r="G922" s="29" t="n">
        <v>0.1697</v>
      </c>
      <c r="H922" s="30" t="n">
        <v>10.46</v>
      </c>
      <c r="I922" s="29" t="n">
        <v>0.0246</v>
      </c>
      <c r="J922" s="29" t="n">
        <v>0.0386</v>
      </c>
      <c r="K922" s="29" t="n">
        <v>0.0681</v>
      </c>
      <c r="L922" s="27" t="n">
        <v>16</v>
      </c>
      <c r="M922" s="27" t="n">
        <v>16131</v>
      </c>
      <c r="N922" s="30" t="n">
        <v>31.37</v>
      </c>
      <c r="O922" s="30" t="n">
        <v>8.88</v>
      </c>
      <c r="P922" s="29" t="n">
        <v>0.0099</v>
      </c>
      <c r="Q922" s="27" t="n">
        <v>188000</v>
      </c>
      <c r="R922" s="27" t="n">
        <v>172175</v>
      </c>
      <c r="S922" s="27" t="n">
        <v>132329</v>
      </c>
      <c r="T922" s="29" t="n">
        <v>0.783</v>
      </c>
      <c r="U922" s="29" t="n">
        <v>0.154</v>
      </c>
      <c r="V922" s="29" t="n">
        <v>0.82</v>
      </c>
      <c r="W922" s="28" t="n">
        <v>13.2</v>
      </c>
    </row>
    <row r="923" customFormat="false" ht="15" hidden="false" customHeight="false" outlineLevel="0" collapsed="false">
      <c r="A923" s="25" t="s">
        <v>1155</v>
      </c>
      <c r="B923" s="25" t="s">
        <v>414</v>
      </c>
      <c r="C923" s="26" t="n">
        <v>46235</v>
      </c>
      <c r="D923" s="27" t="n">
        <v>21529</v>
      </c>
      <c r="E923" s="28" t="n">
        <v>608.6</v>
      </c>
      <c r="F923" s="29" t="n">
        <v>0.0653</v>
      </c>
      <c r="G923" s="29" t="n">
        <v>0.1701</v>
      </c>
      <c r="H923" s="30" t="n">
        <v>11.52</v>
      </c>
      <c r="I923" s="29" t="n">
        <v>0.0251</v>
      </c>
      <c r="J923" s="29" t="n">
        <v>0.0372</v>
      </c>
      <c r="K923" s="29" t="n">
        <v>0.0714</v>
      </c>
      <c r="L923" s="27" t="n">
        <v>16</v>
      </c>
      <c r="M923" s="27" t="n">
        <v>16145</v>
      </c>
      <c r="N923" s="30" t="n">
        <v>31.34</v>
      </c>
      <c r="O923" s="30" t="n">
        <v>8.91</v>
      </c>
      <c r="P923" s="29" t="n">
        <v>0.0103</v>
      </c>
      <c r="Q923" s="27" t="n">
        <v>188000</v>
      </c>
      <c r="R923" s="27" t="n">
        <v>162801</v>
      </c>
      <c r="S923" s="27" t="n">
        <v>141030</v>
      </c>
      <c r="T923" s="29" t="n">
        <v>0.787</v>
      </c>
      <c r="U923" s="29" t="n">
        <v>0.163</v>
      </c>
      <c r="V923" s="29" t="n">
        <v>0.822</v>
      </c>
      <c r="W923" s="28" t="n">
        <v>13.6</v>
      </c>
    </row>
    <row r="924" customFormat="false" ht="15" hidden="false" customHeight="false" outlineLevel="0" collapsed="false">
      <c r="A924" s="25" t="s">
        <v>1156</v>
      </c>
      <c r="B924" s="25" t="s">
        <v>414</v>
      </c>
      <c r="C924" s="26" t="n">
        <v>46266</v>
      </c>
      <c r="D924" s="27" t="n">
        <v>21915</v>
      </c>
      <c r="E924" s="28" t="n">
        <v>612.9</v>
      </c>
      <c r="F924" s="29" t="n">
        <v>0.0657</v>
      </c>
      <c r="G924" s="29" t="n">
        <v>0.1662</v>
      </c>
      <c r="H924" s="30" t="n">
        <v>11.03</v>
      </c>
      <c r="I924" s="29" t="n">
        <v>0.025</v>
      </c>
      <c r="J924" s="29" t="n">
        <v>0.0357</v>
      </c>
      <c r="K924" s="29" t="n">
        <v>0.0726</v>
      </c>
      <c r="L924" s="27" t="n">
        <v>17</v>
      </c>
      <c r="M924" s="27" t="n">
        <v>16160</v>
      </c>
      <c r="N924" s="30" t="n">
        <v>31.35</v>
      </c>
      <c r="O924" s="30" t="n">
        <v>8.55</v>
      </c>
      <c r="P924" s="29" t="n">
        <v>0.0104</v>
      </c>
      <c r="Q924" s="27" t="n">
        <v>188000</v>
      </c>
      <c r="R924" s="27" t="n">
        <v>165617</v>
      </c>
      <c r="S924" s="27" t="n">
        <v>125077</v>
      </c>
      <c r="T924" s="29" t="n">
        <v>0.794</v>
      </c>
      <c r="U924" s="29" t="n">
        <v>0.163</v>
      </c>
      <c r="V924" s="29" t="n">
        <v>0.814</v>
      </c>
      <c r="W924" s="28" t="n">
        <v>13.1</v>
      </c>
    </row>
  </sheetData>
  <autoFilter ref="A204:W924"/>
  <mergeCells count="72"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G23:K23"/>
    <mergeCell ref="G24:K24"/>
    <mergeCell ref="G25:K25"/>
    <mergeCell ref="G26:K26"/>
    <mergeCell ref="G27:K27"/>
    <mergeCell ref="G28:K28"/>
    <mergeCell ref="G29:K29"/>
    <mergeCell ref="G30:K30"/>
    <mergeCell ref="G31:K31"/>
    <mergeCell ref="G32:K32"/>
    <mergeCell ref="G33:K33"/>
    <mergeCell ref="G34:K34"/>
    <mergeCell ref="G35:K35"/>
    <mergeCell ref="G36:K36"/>
    <mergeCell ref="G37:K37"/>
    <mergeCell ref="G38:K38"/>
    <mergeCell ref="G39:K39"/>
    <mergeCell ref="G40:K40"/>
    <mergeCell ref="G41:K41"/>
    <mergeCell ref="G44:I44"/>
    <mergeCell ref="G45:I45"/>
    <mergeCell ref="G46:I46"/>
    <mergeCell ref="G47:I47"/>
    <mergeCell ref="G48:I48"/>
    <mergeCell ref="G49:I49"/>
    <mergeCell ref="G50:I50"/>
    <mergeCell ref="G51:I51"/>
    <mergeCell ref="G52:I52"/>
    <mergeCell ref="G53:I53"/>
    <mergeCell ref="G54:I54"/>
    <mergeCell ref="G55:I55"/>
    <mergeCell ref="G56:I56"/>
    <mergeCell ref="G57:I57"/>
    <mergeCell ref="G58:I58"/>
    <mergeCell ref="E61:J61"/>
    <mergeCell ref="E62:J62"/>
    <mergeCell ref="E63:J63"/>
    <mergeCell ref="E64:J64"/>
    <mergeCell ref="E65:J65"/>
    <mergeCell ref="E66:J66"/>
    <mergeCell ref="E67:J67"/>
    <mergeCell ref="E68:J68"/>
    <mergeCell ref="E69:J69"/>
    <mergeCell ref="E70:J70"/>
    <mergeCell ref="E71:J71"/>
    <mergeCell ref="E72:J72"/>
    <mergeCell ref="E73:J73"/>
    <mergeCell ref="E74:J74"/>
    <mergeCell ref="E75:J75"/>
    <mergeCell ref="E76:J76"/>
    <mergeCell ref="E77:J77"/>
    <mergeCell ref="E78:J78"/>
    <mergeCell ref="E79:J79"/>
    <mergeCell ref="E80:J80"/>
    <mergeCell ref="E81:J81"/>
    <mergeCell ref="E82:J82"/>
    <mergeCell ref="E83:J83"/>
    <mergeCell ref="E84:J84"/>
    <mergeCell ref="E85:J8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79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5" min="2" style="0" width="11.5"/>
  </cols>
  <sheetData>
    <row r="1" customFormat="false" ht="17.35" hidden="false" customHeight="false" outlineLevel="0" collapsed="false">
      <c r="A1" s="1" t="s">
        <v>1157</v>
      </c>
    </row>
    <row r="2" customFormat="false" ht="15" hidden="false" customHeight="false" outlineLevel="0" collapsed="false">
      <c r="A2" s="3" t="s">
        <v>1158</v>
      </c>
    </row>
    <row r="3" customFormat="false" ht="15" hidden="false" customHeight="false" outlineLevel="0" collapsed="false">
      <c r="A3" s="4" t="s">
        <v>1159</v>
      </c>
    </row>
    <row r="4" customFormat="false" ht="30" hidden="false" customHeight="true" outlineLevel="0" collapsed="false">
      <c r="A4" s="5" t="s">
        <v>1160</v>
      </c>
      <c r="B4" s="31" t="n">
        <f aca="false">DATE(2025,10,1)</f>
        <v>45931</v>
      </c>
      <c r="C4" s="31" t="n">
        <f aca="false">EDATE(B4,1)</f>
        <v>45962</v>
      </c>
      <c r="D4" s="31" t="n">
        <f aca="false">EDATE(C4,1)</f>
        <v>45992</v>
      </c>
      <c r="E4" s="31" t="n">
        <f aca="false">EDATE(D4,1)</f>
        <v>46023</v>
      </c>
      <c r="F4" s="31" t="n">
        <f aca="false">EDATE(E4,1)</f>
        <v>46054</v>
      </c>
      <c r="G4" s="31" t="n">
        <f aca="false">EDATE(F4,1)</f>
        <v>46082</v>
      </c>
      <c r="H4" s="31" t="n">
        <f aca="false">EDATE(G4,1)</f>
        <v>46113</v>
      </c>
      <c r="I4" s="31" t="n">
        <f aca="false">EDATE(H4,1)</f>
        <v>46143</v>
      </c>
      <c r="J4" s="31" t="n">
        <f aca="false">EDATE(I4,1)</f>
        <v>46174</v>
      </c>
      <c r="K4" s="31" t="n">
        <f aca="false">EDATE(J4,1)</f>
        <v>46204</v>
      </c>
      <c r="L4" s="31" t="n">
        <f aca="false">EDATE(K4,1)</f>
        <v>46235</v>
      </c>
      <c r="M4" s="31" t="n">
        <f aca="false">EDATE(L4,1)</f>
        <v>46266</v>
      </c>
      <c r="N4" s="5" t="s">
        <v>1161</v>
      </c>
      <c r="O4" s="5" t="s">
        <v>1162</v>
      </c>
    </row>
    <row r="5" customFormat="false" ht="15" hidden="false" customHeight="false" outlineLevel="0" collapsed="false">
      <c r="A5" s="12" t="s">
        <v>1163</v>
      </c>
      <c r="B5" s="32" t="n">
        <f aca="false">SUMIFS($E$71:$E$790,$C$71:$C$790,B$4)</f>
        <v>1256328</v>
      </c>
      <c r="C5" s="32" t="n">
        <f aca="false">SUMIFS($E$71:$E$790,$C$71:$C$790,C$4)</f>
        <v>1306404</v>
      </c>
      <c r="D5" s="32" t="n">
        <f aca="false">SUMIFS($E$71:$E$790,$C$71:$C$790,D$4)</f>
        <v>1370431</v>
      </c>
      <c r="E5" s="32" t="n">
        <f aca="false">SUMIFS($E$71:$E$790,$C$71:$C$790,E$4)</f>
        <v>1345433</v>
      </c>
      <c r="F5" s="32" t="n">
        <f aca="false">SUMIFS($E$71:$E$790,$C$71:$C$790,F$4)</f>
        <v>1258364</v>
      </c>
      <c r="G5" s="32" t="n">
        <f aca="false">SUMIFS($E$71:$E$790,$C$71:$C$790,G$4)</f>
        <v>1483962</v>
      </c>
      <c r="H5" s="32" t="n">
        <f aca="false">SUMIFS($E$71:$E$790,$C$71:$C$790,H$4)</f>
        <v>1520256</v>
      </c>
      <c r="I5" s="32" t="n">
        <f aca="false">SUMIFS($E$71:$E$790,$C$71:$C$790,I$4)</f>
        <v>1690972</v>
      </c>
      <c r="J5" s="32" t="n">
        <f aca="false">SUMIFS($E$71:$E$790,$C$71:$C$790,J$4)</f>
        <v>1663927</v>
      </c>
      <c r="K5" s="32" t="n">
        <f aca="false">SUMIFS($E$71:$E$790,$C$71:$C$790,K$4)</f>
        <v>1663476</v>
      </c>
      <c r="L5" s="32" t="n">
        <f aca="false">SUMIFS($E$71:$E$790,$C$71:$C$790,L$4)</f>
        <v>1744012</v>
      </c>
      <c r="M5" s="32" t="n">
        <f aca="false">SUMIFS($E$71:$E$790,$C$71:$C$790,M$4)</f>
        <v>1762438</v>
      </c>
      <c r="N5" s="33" t="n">
        <f aca="false">SUM(B5:M5)</f>
        <v>18066003</v>
      </c>
      <c r="O5" s="33" t="n">
        <f aca="false">SUM(K5:M5)</f>
        <v>5169926</v>
      </c>
    </row>
    <row r="6" customFormat="false" ht="15" hidden="false" customHeight="false" outlineLevel="0" collapsed="false">
      <c r="A6" s="12" t="s">
        <v>7</v>
      </c>
      <c r="B6" s="19" t="n">
        <f aca="false">SUMIFS($F$71:$F$790,$C$71:$C$790,B$4)/100000</f>
        <v>8136.039118</v>
      </c>
      <c r="C6" s="19" t="n">
        <f aca="false">SUMIFS($F$71:$F$790,$C$71:$C$790,C$4)/100000</f>
        <v>8523.605173</v>
      </c>
      <c r="D6" s="19" t="n">
        <f aca="false">SUMIFS($F$71:$F$790,$C$71:$C$790,D$4)/100000</f>
        <v>8862.395294</v>
      </c>
      <c r="E6" s="19" t="n">
        <f aca="false">SUMIFS($F$71:$F$790,$C$71:$C$790,E$4)/100000</f>
        <v>8709.547464</v>
      </c>
      <c r="F6" s="19" t="n">
        <f aca="false">SUMIFS($F$71:$F$790,$C$71:$C$790,F$4)/100000</f>
        <v>8183.097606</v>
      </c>
      <c r="G6" s="19" t="n">
        <f aca="false">SUMIFS($F$71:$F$790,$C$71:$C$790,G$4)/100000</f>
        <v>9631.269461</v>
      </c>
      <c r="H6" s="19" t="n">
        <f aca="false">SUMIFS($F$71:$F$790,$C$71:$C$790,H$4)/100000</f>
        <v>9899.023141</v>
      </c>
      <c r="I6" s="19" t="n">
        <f aca="false">SUMIFS($F$71:$F$790,$C$71:$C$790,I$4)/100000</f>
        <v>11059.450467</v>
      </c>
      <c r="J6" s="19" t="n">
        <f aca="false">SUMIFS($F$71:$F$790,$C$71:$C$790,J$4)/100000</f>
        <v>10797.549677</v>
      </c>
      <c r="K6" s="19" t="n">
        <f aca="false">SUMIFS($F$71:$F$790,$C$71:$C$790,K$4)/100000</f>
        <v>10774.190153</v>
      </c>
      <c r="L6" s="19" t="n">
        <f aca="false">SUMIFS($F$71:$F$790,$C$71:$C$790,L$4)/100000</f>
        <v>11312.636531</v>
      </c>
      <c r="M6" s="19" t="n">
        <f aca="false">SUMIFS($F$71:$F$790,$C$71:$C$790,M$4)/100000</f>
        <v>11446.739664</v>
      </c>
      <c r="N6" s="21" t="n">
        <f aca="false">SUM(B6:M6)</f>
        <v>117335.543749</v>
      </c>
      <c r="O6" s="21" t="n">
        <f aca="false">SUM(K6:M6)</f>
        <v>33533.566348</v>
      </c>
    </row>
    <row r="7" customFormat="false" ht="15" hidden="false" customHeight="false" outlineLevel="0" collapsed="false">
      <c r="A7" s="12" t="s">
        <v>159</v>
      </c>
      <c r="B7" s="19" t="n">
        <f aca="false">SUMIFS($G$71:$G$790,$C$71:$C$790,B$4)/100000</f>
        <v>501.3185787663</v>
      </c>
      <c r="C7" s="19" t="n">
        <f aca="false">SUMIFS($G$71:$G$790,$C$71:$C$790,C$4)/100000</f>
        <v>518.2617716366</v>
      </c>
      <c r="D7" s="19" t="n">
        <f aca="false">SUMIFS($G$71:$G$790,$C$71:$C$790,D$4)/100000</f>
        <v>542.5021245211</v>
      </c>
      <c r="E7" s="19" t="n">
        <f aca="false">SUMIFS($G$71:$G$790,$C$71:$C$790,E$4)/100000</f>
        <v>527.9411579282</v>
      </c>
      <c r="F7" s="19" t="n">
        <f aca="false">SUMIFS($G$71:$G$790,$C$71:$C$790,F$4)/100000</f>
        <v>497.2900475788</v>
      </c>
      <c r="G7" s="19" t="n">
        <f aca="false">SUMIFS($G$71:$G$790,$C$71:$C$790,G$4)/100000</f>
        <v>582.9968180171</v>
      </c>
      <c r="H7" s="19" t="n">
        <f aca="false">SUMIFS($G$71:$G$790,$C$71:$C$790,H$4)/100000</f>
        <v>590.0534511471</v>
      </c>
      <c r="I7" s="19" t="n">
        <f aca="false">SUMIFS($G$71:$G$790,$C$71:$C$790,I$4)/100000</f>
        <v>667.7721331711</v>
      </c>
      <c r="J7" s="19" t="n">
        <f aca="false">SUMIFS($G$71:$G$790,$C$71:$C$790,J$4)/100000</f>
        <v>639.7488867242</v>
      </c>
      <c r="K7" s="19" t="n">
        <f aca="false">SUMIFS($G$71:$G$790,$C$71:$C$790,K$4)/100000</f>
        <v>633.8758738852</v>
      </c>
      <c r="L7" s="19" t="n">
        <f aca="false">SUMIFS($G$71:$G$790,$C$71:$C$790,L$4)/100000</f>
        <v>659.4603083507</v>
      </c>
      <c r="M7" s="19" t="n">
        <f aca="false">SUMIFS($G$71:$G$790,$C$71:$C$790,M$4)/100000</f>
        <v>679.4717770716</v>
      </c>
      <c r="N7" s="21" t="n">
        <f aca="false">SUM(B7:M7)</f>
        <v>7040.692928798</v>
      </c>
      <c r="O7" s="21" t="n">
        <f aca="false">SUM(K7:M7)</f>
        <v>1972.8079593075</v>
      </c>
    </row>
    <row r="8" customFormat="false" ht="15" hidden="false" customHeight="false" outlineLevel="0" collapsed="false">
      <c r="A8" s="6" t="s">
        <v>11</v>
      </c>
      <c r="B8" s="21" t="n">
        <f aca="false">SUMIFS($H$71:$H$790,$C$71:$C$790,B$4)/100000</f>
        <v>7634.7205392337</v>
      </c>
      <c r="C8" s="21" t="n">
        <f aca="false">SUMIFS($H$71:$H$790,$C$71:$C$790,C$4)/100000</f>
        <v>8005.3434013634</v>
      </c>
      <c r="D8" s="21" t="n">
        <f aca="false">SUMIFS($H$71:$H$790,$C$71:$C$790,D$4)/100000</f>
        <v>8319.8931694789</v>
      </c>
      <c r="E8" s="21" t="n">
        <f aca="false">SUMIFS($H$71:$H$790,$C$71:$C$790,E$4)/100000</f>
        <v>8181.6063060718</v>
      </c>
      <c r="F8" s="21" t="n">
        <f aca="false">SUMIFS($H$71:$H$790,$C$71:$C$790,F$4)/100000</f>
        <v>7685.8075584212</v>
      </c>
      <c r="G8" s="21" t="n">
        <f aca="false">SUMIFS($H$71:$H$790,$C$71:$C$790,G$4)/100000</f>
        <v>9048.2726429829</v>
      </c>
      <c r="H8" s="21" t="n">
        <f aca="false">SUMIFS($H$71:$H$790,$C$71:$C$790,H$4)/100000</f>
        <v>9308.9696898529</v>
      </c>
      <c r="I8" s="21" t="n">
        <f aca="false">SUMIFS($H$71:$H$790,$C$71:$C$790,I$4)/100000</f>
        <v>10391.6783338289</v>
      </c>
      <c r="J8" s="21" t="n">
        <f aca="false">SUMIFS($H$71:$H$790,$C$71:$C$790,J$4)/100000</f>
        <v>10157.8007902758</v>
      </c>
      <c r="K8" s="21" t="n">
        <f aca="false">SUMIFS($H$71:$H$790,$C$71:$C$790,K$4)/100000</f>
        <v>10140.3142791148</v>
      </c>
      <c r="L8" s="21" t="n">
        <f aca="false">SUMIFS($H$71:$H$790,$C$71:$C$790,L$4)/100000</f>
        <v>10653.1762226493</v>
      </c>
      <c r="M8" s="21" t="n">
        <f aca="false">SUMIFS($H$71:$H$790,$C$71:$C$790,M$4)/100000</f>
        <v>10767.2678869284</v>
      </c>
      <c r="N8" s="21" t="n">
        <f aca="false">SUM(B8:M8)</f>
        <v>110294.850820202</v>
      </c>
      <c r="O8" s="21" t="n">
        <f aca="false">SUM(K8:M8)</f>
        <v>31560.7583886925</v>
      </c>
    </row>
    <row r="9" customFormat="false" ht="15" hidden="false" customHeight="false" outlineLevel="0" collapsed="false">
      <c r="A9" s="12" t="s">
        <v>13</v>
      </c>
      <c r="B9" s="19" t="n">
        <f aca="false">SUMIFS($I$71:$I$790,$C$71:$C$790,B$4)/100000</f>
        <v>1280.71347413552</v>
      </c>
      <c r="C9" s="19" t="n">
        <f aca="false">SUMIFS($I$71:$I$790,$C$71:$C$790,C$4)/100000</f>
        <v>1346.40581720849</v>
      </c>
      <c r="D9" s="19" t="n">
        <f aca="false">SUMIFS($I$71:$I$790,$C$71:$C$790,D$4)/100000</f>
        <v>1394.93208780274</v>
      </c>
      <c r="E9" s="19" t="n">
        <f aca="false">SUMIFS($I$71:$I$790,$C$71:$C$790,E$4)/100000</f>
        <v>1370.36281472414</v>
      </c>
      <c r="F9" s="19" t="n">
        <f aca="false">SUMIFS($I$71:$I$790,$C$71:$C$790,F$4)/100000</f>
        <v>1291.1421183556</v>
      </c>
      <c r="G9" s="19" t="n">
        <f aca="false">SUMIFS($I$71:$I$790,$C$71:$C$790,G$4)/100000</f>
        <v>1517.91616881982</v>
      </c>
      <c r="H9" s="19" t="n">
        <f aca="false">SUMIFS($I$71:$I$790,$C$71:$C$790,H$4)/100000</f>
        <v>1564.44391188748</v>
      </c>
      <c r="I9" s="19" t="n">
        <f aca="false">SUMIFS($I$71:$I$790,$C$71:$C$790,I$4)/100000</f>
        <v>1739.19748595444</v>
      </c>
      <c r="J9" s="19" t="n">
        <f aca="false">SUMIFS($I$71:$I$790,$C$71:$C$790,J$4)/100000</f>
        <v>1701.19309457345</v>
      </c>
      <c r="K9" s="19" t="n">
        <f aca="false">SUMIFS($I$71:$I$790,$C$71:$C$790,K$4)/100000</f>
        <v>1703.27996712914</v>
      </c>
      <c r="L9" s="19" t="n">
        <f aca="false">SUMIFS($I$71:$I$790,$C$71:$C$790,L$4)/100000</f>
        <v>1785.61302867331</v>
      </c>
      <c r="M9" s="19" t="n">
        <f aca="false">SUMIFS($I$71:$I$790,$C$71:$C$790,M$4)/100000</f>
        <v>1804.82641177123</v>
      </c>
      <c r="N9" s="21" t="n">
        <f aca="false">SUM(B9:M9)</f>
        <v>18500.0263810354</v>
      </c>
      <c r="O9" s="21" t="n">
        <f aca="false">SUM(K9:M9)</f>
        <v>5293.71940757368</v>
      </c>
    </row>
    <row r="10" customFormat="false" ht="15" hidden="false" customHeight="false" outlineLevel="0" collapsed="false">
      <c r="A10" s="12" t="s">
        <v>305</v>
      </c>
      <c r="B10" s="19" t="n">
        <f aca="false">SUMIFS($J$71:$J$790,$C$71:$C$790,B$4)/100000</f>
        <v>158.6004527</v>
      </c>
      <c r="C10" s="19" t="n">
        <f aca="false">SUMIFS($J$71:$J$790,$C$71:$C$790,C$4)/100000</f>
        <v>164.8539877</v>
      </c>
      <c r="D10" s="19" t="n">
        <f aca="false">SUMIFS($J$71:$J$790,$C$71:$C$790,D$4)/100000</f>
        <v>173.3265313</v>
      </c>
      <c r="E10" s="19" t="n">
        <f aca="false">SUMIFS($J$71:$J$790,$C$71:$C$790,E$4)/100000</f>
        <v>168.85636</v>
      </c>
      <c r="F10" s="19" t="n">
        <f aca="false">SUMIFS($J$71:$J$790,$C$71:$C$790,F$4)/100000</f>
        <v>156.7021349</v>
      </c>
      <c r="G10" s="19" t="n">
        <f aca="false">SUMIFS($J$71:$J$790,$C$71:$C$790,G$4)/100000</f>
        <v>186.485809</v>
      </c>
      <c r="H10" s="19" t="n">
        <f aca="false">SUMIFS($J$71:$J$790,$C$71:$C$790,H$4)/100000</f>
        <v>190.7510903</v>
      </c>
      <c r="I10" s="19" t="n">
        <f aca="false">SUMIFS($J$71:$J$790,$C$71:$C$790,I$4)/100000</f>
        <v>213.4713942</v>
      </c>
      <c r="J10" s="19" t="n">
        <f aca="false">SUMIFS($J$71:$J$790,$C$71:$C$790,J$4)/100000</f>
        <v>208.7097719</v>
      </c>
      <c r="K10" s="19" t="n">
        <f aca="false">SUMIFS($J$71:$J$790,$C$71:$C$790,K$4)/100000</f>
        <v>209.0449241</v>
      </c>
      <c r="L10" s="19" t="n">
        <f aca="false">SUMIFS($J$71:$J$790,$C$71:$C$790,L$4)/100000</f>
        <v>218.6490782</v>
      </c>
      <c r="M10" s="19" t="n">
        <f aca="false">SUMIFS($J$71:$J$790,$C$71:$C$790,M$4)/100000</f>
        <v>220.7172369</v>
      </c>
      <c r="N10" s="21" t="n">
        <f aca="false">SUM(B10:M10)</f>
        <v>2270.1687712</v>
      </c>
      <c r="O10" s="21" t="n">
        <f aca="false">SUM(K10:M10)</f>
        <v>648.4112392</v>
      </c>
    </row>
    <row r="11" customFormat="false" ht="15" hidden="false" customHeight="false" outlineLevel="0" collapsed="false">
      <c r="A11" s="12" t="s">
        <v>101</v>
      </c>
      <c r="B11" s="19" t="n">
        <f aca="false">SUMIFS($K$71:$K$790,$C$71:$C$790,B$4)/100000</f>
        <v>213.228524883731</v>
      </c>
      <c r="C11" s="19" t="n">
        <f aca="false">SUMIFS($K$71:$K$790,$C$71:$C$790,C$4)/100000</f>
        <v>229.395478330384</v>
      </c>
      <c r="D11" s="19" t="n">
        <f aca="false">SUMIFS($K$71:$K$790,$C$71:$C$790,D$4)/100000</f>
        <v>235.675670974357</v>
      </c>
      <c r="E11" s="19" t="n">
        <f aca="false">SUMIFS($K$71:$K$790,$C$71:$C$790,E$4)/100000</f>
        <v>227.923986256465</v>
      </c>
      <c r="F11" s="19" t="n">
        <f aca="false">SUMIFS($K$71:$K$790,$C$71:$C$790,F$4)/100000</f>
        <v>214.309148153525</v>
      </c>
      <c r="G11" s="19" t="n">
        <f aca="false">SUMIFS($K$71:$K$790,$C$71:$C$790,G$4)/100000</f>
        <v>259.066406339153</v>
      </c>
      <c r="H11" s="19" t="n">
        <f aca="false">SUMIFS($K$71:$K$790,$C$71:$C$790,H$4)/100000</f>
        <v>266.863255261348</v>
      </c>
      <c r="I11" s="19" t="n">
        <f aca="false">SUMIFS($K$71:$K$790,$C$71:$C$790,I$4)/100000</f>
        <v>301.273869210371</v>
      </c>
      <c r="J11" s="19" t="n">
        <f aca="false">SUMIFS($K$71:$K$790,$C$71:$C$790,J$4)/100000</f>
        <v>295.699544318612</v>
      </c>
      <c r="K11" s="19" t="n">
        <f aca="false">SUMIFS($K$71:$K$790,$C$71:$C$790,K$4)/100000</f>
        <v>292.396123039214</v>
      </c>
      <c r="L11" s="19" t="n">
        <f aca="false">SUMIFS($K$71:$K$790,$C$71:$C$790,L$4)/100000</f>
        <v>308.077746576727</v>
      </c>
      <c r="M11" s="19" t="n">
        <f aca="false">SUMIFS($K$71:$K$790,$C$71:$C$790,M$4)/100000</f>
        <v>316.025970893444</v>
      </c>
      <c r="N11" s="21" t="n">
        <f aca="false">SUM(B11:M11)</f>
        <v>3159.93572423733</v>
      </c>
      <c r="O11" s="21" t="n">
        <f aca="false">SUM(K11:M11)</f>
        <v>916.499840509385</v>
      </c>
    </row>
    <row r="12" customFormat="false" ht="15" hidden="false" customHeight="false" outlineLevel="0" collapsed="false">
      <c r="A12" s="12" t="s">
        <v>306</v>
      </c>
      <c r="B12" s="19" t="n">
        <f aca="false">SUMIFS($L$71:$L$790,$C$71:$C$790,B$4)/100000</f>
        <v>195.458441485003</v>
      </c>
      <c r="C12" s="19" t="n">
        <f aca="false">SUMIFS($L$71:$L$790,$C$71:$C$790,C$4)/100000</f>
        <v>202.203774249722</v>
      </c>
      <c r="D12" s="19" t="n">
        <f aca="false">SUMIFS($L$71:$L$790,$C$71:$C$790,D$4)/100000</f>
        <v>210.598925869342</v>
      </c>
      <c r="E12" s="19" t="n">
        <f aca="false">SUMIFS($L$71:$L$790,$C$71:$C$790,E$4)/100000</f>
        <v>207.70281541966</v>
      </c>
      <c r="F12" s="19" t="n">
        <f aca="false">SUMIFS($L$71:$L$790,$C$71:$C$790,F$4)/100000</f>
        <v>194.072734286224</v>
      </c>
      <c r="G12" s="19" t="n">
        <f aca="false">SUMIFS($L$71:$L$790,$C$71:$C$790,G$4)/100000</f>
        <v>225.338980031951</v>
      </c>
      <c r="H12" s="19" t="n">
        <f aca="false">SUMIFS($L$71:$L$790,$C$71:$C$790,H$4)/100000</f>
        <v>230.089044948293</v>
      </c>
      <c r="I12" s="19" t="n">
        <f aca="false">SUMIFS($L$71:$L$790,$C$71:$C$790,I$4)/100000</f>
        <v>257.629514859609</v>
      </c>
      <c r="J12" s="19" t="n">
        <f aca="false">SUMIFS($L$71:$L$790,$C$71:$C$790,J$4)/100000</f>
        <v>251.472776343465</v>
      </c>
      <c r="K12" s="19" t="n">
        <f aca="false">SUMIFS($L$71:$L$790,$C$71:$C$790,K$4)/100000</f>
        <v>251.183560125025</v>
      </c>
      <c r="L12" s="19" t="n">
        <f aca="false">SUMIFS($L$71:$L$790,$C$71:$C$790,L$4)/100000</f>
        <v>265.357018741473</v>
      </c>
      <c r="M12" s="19" t="n">
        <f aca="false">SUMIFS($L$71:$L$790,$C$71:$C$790,M$4)/100000</f>
        <v>264.469238357737</v>
      </c>
      <c r="N12" s="21" t="n">
        <f aca="false">SUM(B12:M12)</f>
        <v>2755.5768247175</v>
      </c>
      <c r="O12" s="21" t="n">
        <f aca="false">SUM(K12:M12)</f>
        <v>781.009817224235</v>
      </c>
    </row>
    <row r="13" customFormat="false" ht="15" hidden="false" customHeight="false" outlineLevel="0" collapsed="false">
      <c r="A13" s="6" t="s">
        <v>17</v>
      </c>
      <c r="B13" s="21" t="n">
        <f aca="false">SUMIFS($M$71:$M$790,$C$71:$C$790,B$4)/100000</f>
        <v>1457.08401023425</v>
      </c>
      <c r="C13" s="21" t="n">
        <f aca="false">SUMIFS($M$71:$M$790,$C$71:$C$790,C$4)/100000</f>
        <v>1538.45150898915</v>
      </c>
      <c r="D13" s="21" t="n">
        <f aca="false">SUMIFS($M$71:$M$790,$C$71:$C$790,D$4)/100000</f>
        <v>1593.33536420775</v>
      </c>
      <c r="E13" s="21" t="n">
        <f aca="false">SUMIFS($M$71:$M$790,$C$71:$C$790,E$4)/100000</f>
        <v>1559.44034556094</v>
      </c>
      <c r="F13" s="21" t="n">
        <f aca="false">SUMIFS($M$71:$M$790,$C$71:$C$790,F$4)/100000</f>
        <v>1468.0806671229</v>
      </c>
      <c r="G13" s="21" t="n">
        <f aca="false">SUMIFS($M$71:$M$790,$C$71:$C$790,G$4)/100000</f>
        <v>1738.12940412702</v>
      </c>
      <c r="H13" s="21" t="n">
        <f aca="false">SUMIFS($M$71:$M$790,$C$71:$C$790,H$4)/100000</f>
        <v>1791.96921250054</v>
      </c>
      <c r="I13" s="21" t="n">
        <f aca="false">SUMIFS($M$71:$M$790,$C$71:$C$790,I$4)/100000</f>
        <v>1996.3132345052</v>
      </c>
      <c r="J13" s="21" t="n">
        <f aca="false">SUMIFS($M$71:$M$790,$C$71:$C$790,J$4)/100000</f>
        <v>1954.12963444859</v>
      </c>
      <c r="K13" s="21" t="n">
        <f aca="false">SUMIFS($M$71:$M$790,$C$71:$C$790,K$4)/100000</f>
        <v>1953.53745414333</v>
      </c>
      <c r="L13" s="21" t="n">
        <f aca="false">SUMIFS($M$71:$M$790,$C$71:$C$790,L$4)/100000</f>
        <v>2046.98283470857</v>
      </c>
      <c r="M13" s="21" t="n">
        <f aca="false">SUMIFS($M$71:$M$790,$C$71:$C$790,M$4)/100000</f>
        <v>2077.10038120694</v>
      </c>
      <c r="N13" s="21" t="n">
        <f aca="false">SUM(B13:M13)</f>
        <v>21174.5540517552</v>
      </c>
      <c r="O13" s="21" t="n">
        <f aca="false">SUM(K13:M13)</f>
        <v>6077.62067005883</v>
      </c>
    </row>
    <row r="14" customFormat="false" ht="15" hidden="false" customHeight="false" outlineLevel="0" collapsed="false">
      <c r="A14" s="12" t="s">
        <v>1164</v>
      </c>
      <c r="B14" s="19" t="n">
        <f aca="false">SUMIFS($N$71:$N$790,$C$71:$C$790,B$4)/100000</f>
        <v>489.5234948</v>
      </c>
      <c r="C14" s="19" t="n">
        <f aca="false">SUMIFS($N$71:$N$790,$C$71:$C$790,C$4)/100000</f>
        <v>508.0172136</v>
      </c>
      <c r="D14" s="19" t="n">
        <f aca="false">SUMIFS($N$71:$N$790,$C$71:$C$790,D$4)/100000</f>
        <v>530.7383537</v>
      </c>
      <c r="E14" s="19" t="n">
        <f aca="false">SUMIFS($N$71:$N$790,$C$71:$C$790,E$4)/100000</f>
        <v>524.6633756</v>
      </c>
      <c r="F14" s="19" t="n">
        <f aca="false">SUMIFS($N$71:$N$790,$C$71:$C$790,F$4)/100000</f>
        <v>489.2132933</v>
      </c>
      <c r="G14" s="19" t="n">
        <f aca="false">SUMIFS($N$71:$N$790,$C$71:$C$790,G$4)/100000</f>
        <v>572.0608953</v>
      </c>
      <c r="H14" s="19" t="n">
        <f aca="false">SUMIFS($N$71:$N$790,$C$71:$C$790,H$4)/100000</f>
        <v>588.5069455</v>
      </c>
      <c r="I14" s="19" t="n">
        <f aca="false">SUMIFS($N$71:$N$790,$C$71:$C$790,I$4)/100000</f>
        <v>651.2568825</v>
      </c>
      <c r="J14" s="19" t="n">
        <f aca="false">SUMIFS($N$71:$N$790,$C$71:$C$790,J$4)/100000</f>
        <v>641.5830544</v>
      </c>
      <c r="K14" s="19" t="n">
        <f aca="false">SUMIFS($N$71:$N$790,$C$71:$C$790,K$4)/100000</f>
        <v>640.4491444</v>
      </c>
      <c r="L14" s="19" t="n">
        <f aca="false">SUMIFS($N$71:$N$790,$C$71:$C$790,L$4)/100000</f>
        <v>673.9267245</v>
      </c>
      <c r="M14" s="19" t="n">
        <f aca="false">SUMIFS($N$71:$N$790,$C$71:$C$790,M$4)/100000</f>
        <v>679.7011609</v>
      </c>
      <c r="N14" s="21" t="n">
        <f aca="false">SUM(B14:M14)</f>
        <v>6989.6405385</v>
      </c>
      <c r="O14" s="21" t="n">
        <f aca="false">SUM(K14:M14)</f>
        <v>1994.0770298</v>
      </c>
    </row>
    <row r="15" customFormat="false" ht="15" hidden="false" customHeight="false" outlineLevel="0" collapsed="false">
      <c r="A15" s="12" t="s">
        <v>1165</v>
      </c>
      <c r="B15" s="19" t="n">
        <f aca="false">SUMIFS($O$71:$O$790,$C$71:$C$790,B$4)/100000</f>
        <v>128.5979742</v>
      </c>
      <c r="C15" s="19" t="n">
        <f aca="false">SUMIFS($O$71:$O$790,$C$71:$C$790,C$4)/100000</f>
        <v>134.2795659</v>
      </c>
      <c r="D15" s="19" t="n">
        <f aca="false">SUMIFS($O$71:$O$790,$C$71:$C$790,D$4)/100000</f>
        <v>140.5765911</v>
      </c>
      <c r="E15" s="19" t="n">
        <f aca="false">SUMIFS($O$71:$O$790,$C$71:$C$790,E$4)/100000</f>
        <v>137.7294577</v>
      </c>
      <c r="F15" s="19" t="n">
        <f aca="false">SUMIFS($O$71:$O$790,$C$71:$C$790,F$4)/100000</f>
        <v>129.2003706</v>
      </c>
      <c r="G15" s="19" t="n">
        <f aca="false">SUMIFS($O$71:$O$790,$C$71:$C$790,G$4)/100000</f>
        <v>150.9119239</v>
      </c>
      <c r="H15" s="19" t="n">
        <f aca="false">SUMIFS($O$71:$O$790,$C$71:$C$790,H$4)/100000</f>
        <v>155.33591</v>
      </c>
      <c r="I15" s="19" t="n">
        <f aca="false">SUMIFS($O$71:$O$790,$C$71:$C$790,I$4)/100000</f>
        <v>173.46192</v>
      </c>
      <c r="J15" s="19" t="n">
        <f aca="false">SUMIFS($O$71:$O$790,$C$71:$C$790,J$4)/100000</f>
        <v>170.5557954</v>
      </c>
      <c r="K15" s="19" t="n">
        <f aca="false">SUMIFS($O$71:$O$790,$C$71:$C$790,K$4)/100000</f>
        <v>170.1830437</v>
      </c>
      <c r="L15" s="19" t="n">
        <f aca="false">SUMIFS($O$71:$O$790,$C$71:$C$790,L$4)/100000</f>
        <v>177.6735441</v>
      </c>
      <c r="M15" s="19" t="n">
        <f aca="false">SUMIFS($O$71:$O$790,$C$71:$C$790,M$4)/100000</f>
        <v>181.018084</v>
      </c>
      <c r="N15" s="21" t="n">
        <f aca="false">SUM(B15:M15)</f>
        <v>1849.5241806</v>
      </c>
      <c r="O15" s="21" t="n">
        <f aca="false">SUM(K15:M15)</f>
        <v>528.8746718</v>
      </c>
    </row>
    <row r="16" customFormat="false" ht="15" hidden="false" customHeight="false" outlineLevel="0" collapsed="false">
      <c r="A16" s="12" t="s">
        <v>309</v>
      </c>
      <c r="B16" s="19" t="n">
        <f aca="false">SUMIFS($P$71:$P$790,$C$71:$C$790,B$4)/100000</f>
        <v>76.9661019178569</v>
      </c>
      <c r="C16" s="19" t="n">
        <f aca="false">SUMIFS($P$71:$P$790,$C$71:$C$790,C$4)/100000</f>
        <v>79.820182737436</v>
      </c>
      <c r="D16" s="19" t="n">
        <f aca="false">SUMIFS($P$71:$P$790,$C$71:$C$790,D$4)/100000</f>
        <v>83.4371832516089</v>
      </c>
      <c r="E16" s="19" t="n">
        <f aca="false">SUMIFS($P$71:$P$790,$C$71:$C$790,E$4)/100000</f>
        <v>81.5842301377126</v>
      </c>
      <c r="F16" s="19" t="n">
        <f aca="false">SUMIFS($P$71:$P$790,$C$71:$C$790,F$4)/100000</f>
        <v>76.3697387010253</v>
      </c>
      <c r="G16" s="19" t="n">
        <f aca="false">SUMIFS($P$71:$P$790,$C$71:$C$790,G$4)/100000</f>
        <v>90.83042074174</v>
      </c>
      <c r="H16" s="19" t="n">
        <f aca="false">SUMIFS($P$71:$P$790,$C$71:$C$790,H$4)/100000</f>
        <v>92.9939741720188</v>
      </c>
      <c r="I16" s="19" t="n">
        <f aca="false">SUMIFS($P$71:$P$790,$C$71:$C$790,I$4)/100000</f>
        <v>104.305871373167</v>
      </c>
      <c r="J16" s="19" t="n">
        <f aca="false">SUMIFS($P$71:$P$790,$C$71:$C$790,J$4)/100000</f>
        <v>102.729137168247</v>
      </c>
      <c r="K16" s="19" t="n">
        <f aca="false">SUMIFS($P$71:$P$790,$C$71:$C$790,K$4)/100000</f>
        <v>100.706595788402</v>
      </c>
      <c r="L16" s="19" t="n">
        <f aca="false">SUMIFS($P$71:$P$790,$C$71:$C$790,L$4)/100000</f>
        <v>106.089157458615</v>
      </c>
      <c r="M16" s="19" t="n">
        <f aca="false">SUMIFS($P$71:$P$790,$C$71:$C$790,M$4)/100000</f>
        <v>107.979412866383</v>
      </c>
      <c r="N16" s="21" t="n">
        <f aca="false">SUM(B16:M16)</f>
        <v>1103.81200631421</v>
      </c>
      <c r="O16" s="21" t="n">
        <f aca="false">SUM(K16:M16)</f>
        <v>314.775166113399</v>
      </c>
    </row>
    <row r="17" customFormat="false" ht="15" hidden="false" customHeight="false" outlineLevel="0" collapsed="false">
      <c r="A17" s="6" t="s">
        <v>21</v>
      </c>
      <c r="B17" s="21" t="n">
        <f aca="false">SUMIFS($Q$71:$Q$790,$C$71:$C$790,B$4)/100000</f>
        <v>761.996439316396</v>
      </c>
      <c r="C17" s="21" t="n">
        <f aca="false">SUMIFS($Q$71:$Q$790,$C$71:$C$790,C$4)/100000</f>
        <v>816.334546751715</v>
      </c>
      <c r="D17" s="21" t="n">
        <f aca="false">SUMIFS($Q$71:$Q$790,$C$71:$C$790,D$4)/100000</f>
        <v>838.583236156146</v>
      </c>
      <c r="E17" s="21" t="n">
        <f aca="false">SUMIFS($Q$71:$Q$790,$C$71:$C$790,E$4)/100000</f>
        <v>815.463282123229</v>
      </c>
      <c r="F17" s="21" t="n">
        <f aca="false">SUMIFS($Q$71:$Q$790,$C$71:$C$790,F$4)/100000</f>
        <v>773.297264521875</v>
      </c>
      <c r="G17" s="21" t="n">
        <f aca="false">SUMIFS($Q$71:$Q$790,$C$71:$C$790,G$4)/100000</f>
        <v>924.326164185279</v>
      </c>
      <c r="H17" s="21" t="n">
        <f aca="false">SUMIFS($Q$71:$Q$790,$C$71:$C$790,H$4)/100000</f>
        <v>955.132382828522</v>
      </c>
      <c r="I17" s="21" t="n">
        <f aca="false">SUMIFS($Q$71:$Q$790,$C$71:$C$790,I$4)/100000</f>
        <v>1067.28856063203</v>
      </c>
      <c r="J17" s="21" t="n">
        <f aca="false">SUMIFS($Q$71:$Q$790,$C$71:$C$790,J$4)/100000</f>
        <v>1039.26164748035</v>
      </c>
      <c r="K17" s="21" t="n">
        <f aca="false">SUMIFS($Q$71:$Q$790,$C$71:$C$790,K$4)/100000</f>
        <v>1042.19867025492</v>
      </c>
      <c r="L17" s="21" t="n">
        <f aca="false">SUMIFS($Q$71:$Q$790,$C$71:$C$790,L$4)/100000</f>
        <v>1089.29340864995</v>
      </c>
      <c r="M17" s="21" t="n">
        <f aca="false">SUMIFS($Q$71:$Q$790,$C$71:$C$790,M$4)/100000</f>
        <v>1108.40172344056</v>
      </c>
      <c r="N17" s="21" t="n">
        <f aca="false">SUM(B17:M17)</f>
        <v>11231.577326341</v>
      </c>
      <c r="O17" s="21" t="n">
        <f aca="false">SUM(K17:M17)</f>
        <v>3239.89380234543</v>
      </c>
    </row>
    <row r="18" customFormat="false" ht="15" hidden="false" customHeight="false" outlineLevel="0" collapsed="false">
      <c r="A18" s="12" t="s">
        <v>176</v>
      </c>
      <c r="B18" s="19" t="n">
        <f aca="false">SUMIFS($R$71:$R$790,$C$71:$C$790,B$4)/100000</f>
        <v>275.875</v>
      </c>
      <c r="C18" s="19" t="n">
        <f aca="false">SUMIFS($R$71:$R$790,$C$71:$C$790,C$4)/100000</f>
        <v>286.14625</v>
      </c>
      <c r="D18" s="19" t="n">
        <f aca="false">SUMIFS($R$71:$R$790,$C$71:$C$790,D$4)/100000</f>
        <v>285.9772</v>
      </c>
      <c r="E18" s="19" t="n">
        <f aca="false">SUMIFS($R$71:$R$790,$C$71:$C$790,E$4)/100000</f>
        <v>278.01575</v>
      </c>
      <c r="F18" s="19" t="n">
        <f aca="false">SUMIFS($R$71:$R$790,$C$71:$C$790,F$4)/100000</f>
        <v>283.93824</v>
      </c>
      <c r="G18" s="19" t="n">
        <f aca="false">SUMIFS($R$71:$R$790,$C$71:$C$790,G$4)/100000</f>
        <v>294.29255</v>
      </c>
      <c r="H18" s="19" t="n">
        <f aca="false">SUMIFS($R$71:$R$790,$C$71:$C$790,H$4)/100000</f>
        <v>305.10422</v>
      </c>
      <c r="I18" s="19" t="n">
        <f aca="false">SUMIFS($R$71:$R$790,$C$71:$C$790,I$4)/100000</f>
        <v>322.03694</v>
      </c>
      <c r="J18" s="19" t="n">
        <f aca="false">SUMIFS($R$71:$R$790,$C$71:$C$790,J$4)/100000</f>
        <v>319.8347</v>
      </c>
      <c r="K18" s="19" t="n">
        <f aca="false">SUMIFS($R$71:$R$790,$C$71:$C$790,K$4)/100000</f>
        <v>310.05815</v>
      </c>
      <c r="L18" s="19" t="n">
        <f aca="false">SUMIFS($R$71:$R$790,$C$71:$C$790,L$4)/100000</f>
        <v>318.68452</v>
      </c>
      <c r="M18" s="19" t="n">
        <f aca="false">SUMIFS($R$71:$R$790,$C$71:$C$790,M$4)/100000</f>
        <v>328.72975</v>
      </c>
      <c r="N18" s="21" t="n">
        <f aca="false">SUM(B18:M18)</f>
        <v>3608.69327</v>
      </c>
      <c r="O18" s="21" t="n">
        <f aca="false">SUM(K18:M18)</f>
        <v>957.47242</v>
      </c>
    </row>
    <row r="19" customFormat="false" ht="15" hidden="false" customHeight="false" outlineLevel="0" collapsed="false">
      <c r="A19" s="12" t="s">
        <v>1166</v>
      </c>
      <c r="B19" s="19" t="n">
        <f aca="false">SUMIFS($S$71:$S$790,$C$71:$C$790,B$4)/100000</f>
        <v>361.185</v>
      </c>
      <c r="C19" s="19" t="n">
        <f aca="false">SUMIFS($S$71:$S$790,$C$71:$C$790,C$4)/100000</f>
        <v>361.185</v>
      </c>
      <c r="D19" s="19" t="n">
        <f aca="false">SUMIFS($S$71:$S$790,$C$71:$C$790,D$4)/100000</f>
        <v>361.185</v>
      </c>
      <c r="E19" s="19" t="n">
        <f aca="false">SUMIFS($S$71:$S$790,$C$71:$C$790,E$4)/100000</f>
        <v>361.185</v>
      </c>
      <c r="F19" s="19" t="n">
        <f aca="false">SUMIFS($S$71:$S$790,$C$71:$C$790,F$4)/100000</f>
        <v>361.185</v>
      </c>
      <c r="G19" s="19" t="n">
        <f aca="false">SUMIFS($S$71:$S$790,$C$71:$C$790,G$4)/100000</f>
        <v>361.185</v>
      </c>
      <c r="H19" s="19" t="n">
        <f aca="false">SUMIFS($S$71:$S$790,$C$71:$C$790,H$4)/100000</f>
        <v>361.185</v>
      </c>
      <c r="I19" s="19" t="n">
        <f aca="false">SUMIFS($S$71:$S$790,$C$71:$C$790,I$4)/100000</f>
        <v>361.185</v>
      </c>
      <c r="J19" s="19" t="n">
        <f aca="false">SUMIFS($S$71:$S$790,$C$71:$C$790,J$4)/100000</f>
        <v>361.185</v>
      </c>
      <c r="K19" s="19" t="n">
        <f aca="false">SUMIFS($S$71:$S$790,$C$71:$C$790,K$4)/100000</f>
        <v>361.185</v>
      </c>
      <c r="L19" s="19" t="n">
        <f aca="false">SUMIFS($S$71:$S$790,$C$71:$C$790,L$4)/100000</f>
        <v>361.185</v>
      </c>
      <c r="M19" s="19" t="n">
        <f aca="false">SUMIFS($S$71:$S$790,$C$71:$C$790,M$4)/100000</f>
        <v>361.185</v>
      </c>
      <c r="N19" s="21" t="n">
        <f aca="false">SUM(B19:M19)</f>
        <v>4334.22</v>
      </c>
      <c r="O19" s="21" t="n">
        <f aca="false">SUM(K19:M19)</f>
        <v>1083.555</v>
      </c>
    </row>
    <row r="20" customFormat="false" ht="15" hidden="false" customHeight="false" outlineLevel="0" collapsed="false">
      <c r="A20" s="12" t="s">
        <v>1167</v>
      </c>
      <c r="B20" s="19" t="n">
        <f aca="false">SUMIFS($T$71:$T$790,$C$71:$C$790,B$4)/100000</f>
        <v>102.39807</v>
      </c>
      <c r="C20" s="19" t="n">
        <f aca="false">SUMIFS($T$71:$T$790,$C$71:$C$790,C$4)/100000</f>
        <v>101.7517</v>
      </c>
      <c r="D20" s="19" t="n">
        <f aca="false">SUMIFS($T$71:$T$790,$C$71:$C$790,D$4)/100000</f>
        <v>101.04299</v>
      </c>
      <c r="E20" s="19" t="n">
        <f aca="false">SUMIFS($T$71:$T$790,$C$71:$C$790,E$4)/100000</f>
        <v>101.77989</v>
      </c>
      <c r="F20" s="19" t="n">
        <f aca="false">SUMIFS($T$71:$T$790,$C$71:$C$790,F$4)/100000</f>
        <v>102.01691</v>
      </c>
      <c r="G20" s="19" t="n">
        <f aca="false">SUMIFS($T$71:$T$790,$C$71:$C$790,G$4)/100000</f>
        <v>101.84869</v>
      </c>
      <c r="H20" s="19" t="n">
        <f aca="false">SUMIFS($T$71:$T$790,$C$71:$C$790,H$4)/100000</f>
        <v>101.28349</v>
      </c>
      <c r="I20" s="19" t="n">
        <f aca="false">SUMIFS($T$71:$T$790,$C$71:$C$790,I$4)/100000</f>
        <v>102.35471</v>
      </c>
      <c r="J20" s="19" t="n">
        <f aca="false">SUMIFS($T$71:$T$790,$C$71:$C$790,J$4)/100000</f>
        <v>101.98536</v>
      </c>
      <c r="K20" s="19" t="n">
        <f aca="false">SUMIFS($T$71:$T$790,$C$71:$C$790,K$4)/100000</f>
        <v>101.56465</v>
      </c>
      <c r="L20" s="19" t="n">
        <f aca="false">SUMIFS($T$71:$T$790,$C$71:$C$790,L$4)/100000</f>
        <v>101.48742</v>
      </c>
      <c r="M20" s="19" t="n">
        <f aca="false">SUMIFS($T$71:$T$790,$C$71:$C$790,M$4)/100000</f>
        <v>101.53282</v>
      </c>
      <c r="N20" s="21" t="n">
        <f aca="false">SUM(B20:M20)</f>
        <v>1221.0467</v>
      </c>
      <c r="O20" s="21" t="n">
        <f aca="false">SUM(K20:M20)</f>
        <v>304.58489</v>
      </c>
    </row>
    <row r="21" customFormat="false" ht="15" hidden="false" customHeight="false" outlineLevel="0" collapsed="false">
      <c r="A21" s="12" t="s">
        <v>1168</v>
      </c>
      <c r="B21" s="19" t="n">
        <f aca="false">SUMIFS($U$71:$U$790,$C$71:$C$790,B$4)/100000</f>
        <v>96.95678</v>
      </c>
      <c r="C21" s="19" t="n">
        <f aca="false">SUMIFS($U$71:$U$790,$C$71:$C$790,C$4)/100000</f>
        <v>99.42328</v>
      </c>
      <c r="D21" s="19" t="n">
        <f aca="false">SUMIFS($U$71:$U$790,$C$71:$C$790,D$4)/100000</f>
        <v>100.56178</v>
      </c>
      <c r="E21" s="19" t="n">
        <f aca="false">SUMIFS($U$71:$U$790,$C$71:$C$790,E$4)/100000</f>
        <v>95.16404</v>
      </c>
      <c r="F21" s="19" t="n">
        <f aca="false">SUMIFS($U$71:$U$790,$C$71:$C$790,F$4)/100000</f>
        <v>88.28407</v>
      </c>
      <c r="G21" s="19" t="n">
        <f aca="false">SUMIFS($U$71:$U$790,$C$71:$C$790,G$4)/100000</f>
        <v>101.38719</v>
      </c>
      <c r="H21" s="19" t="n">
        <f aca="false">SUMIFS($U$71:$U$790,$C$71:$C$790,H$4)/100000</f>
        <v>100.53222</v>
      </c>
      <c r="I21" s="19" t="n">
        <f aca="false">SUMIFS($U$71:$U$790,$C$71:$C$790,I$4)/100000</f>
        <v>110.57013</v>
      </c>
      <c r="J21" s="19" t="n">
        <f aca="false">SUMIFS($U$71:$U$790,$C$71:$C$790,J$4)/100000</f>
        <v>107.12726</v>
      </c>
      <c r="K21" s="19" t="n">
        <f aca="false">SUMIFS($U$71:$U$790,$C$71:$C$790,K$4)/100000</f>
        <v>103.50023</v>
      </c>
      <c r="L21" s="19" t="n">
        <f aca="false">SUMIFS($U$71:$U$790,$C$71:$C$790,L$4)/100000</f>
        <v>108.45797</v>
      </c>
      <c r="M21" s="19" t="n">
        <f aca="false">SUMIFS($U$71:$U$790,$C$71:$C$790,M$4)/100000</f>
        <v>106.88356</v>
      </c>
      <c r="N21" s="21" t="n">
        <f aca="false">SUM(B21:M21)</f>
        <v>1218.84851</v>
      </c>
      <c r="O21" s="21" t="n">
        <f aca="false">SUM(K21:M21)</f>
        <v>318.84176</v>
      </c>
    </row>
    <row r="22" customFormat="false" ht="15" hidden="false" customHeight="false" outlineLevel="0" collapsed="false">
      <c r="A22" s="6" t="s">
        <v>25</v>
      </c>
      <c r="B22" s="21" t="n">
        <f aca="false">SUMIFS($V$71:$V$790,$C$71:$C$790,B$4)/100000</f>
        <v>-74.4184106836041</v>
      </c>
      <c r="C22" s="21" t="n">
        <f aca="false">SUMIFS($V$71:$V$790,$C$71:$C$790,C$4)/100000</f>
        <v>-32.1716832482846</v>
      </c>
      <c r="D22" s="21" t="n">
        <f aca="false">SUMIFS($V$71:$V$790,$C$71:$C$790,D$4)/100000</f>
        <v>-10.183733843854</v>
      </c>
      <c r="E22" s="21" t="n">
        <f aca="false">SUMIFS($V$71:$V$790,$C$71:$C$790,E$4)/100000</f>
        <v>-20.6813978767715</v>
      </c>
      <c r="F22" s="21" t="n">
        <f aca="false">SUMIFS($V$71:$V$790,$C$71:$C$790,F$4)/100000</f>
        <v>-62.1269554781255</v>
      </c>
      <c r="G22" s="21" t="n">
        <f aca="false">SUMIFS($V$71:$V$790,$C$71:$C$790,G$4)/100000</f>
        <v>65.6127341852784</v>
      </c>
      <c r="H22" s="21" t="n">
        <f aca="false">SUMIFS($V$71:$V$790,$C$71:$C$790,H$4)/100000</f>
        <v>87.0274528285214</v>
      </c>
      <c r="I22" s="21" t="n">
        <f aca="false">SUMIFS($V$71:$V$790,$C$71:$C$790,I$4)/100000</f>
        <v>171.141780632033</v>
      </c>
      <c r="J22" s="21" t="n">
        <f aca="false">SUMIFS($V$71:$V$790,$C$71:$C$790,J$4)/100000</f>
        <v>149.129327480346</v>
      </c>
      <c r="K22" s="21" t="n">
        <f aca="false">SUMIFS($V$71:$V$790,$C$71:$C$790,K$4)/100000</f>
        <v>165.890640254925</v>
      </c>
      <c r="L22" s="21" t="n">
        <f aca="false">SUMIFS($V$71:$V$790,$C$71:$C$790,L$4)/100000</f>
        <v>199.47849864995</v>
      </c>
      <c r="M22" s="21" t="n">
        <f aca="false">SUMIFS($V$71:$V$790,$C$71:$C$790,M$4)/100000</f>
        <v>210.070593440555</v>
      </c>
      <c r="N22" s="21" t="n">
        <f aca="false">SUM(B22:M22)</f>
        <v>848.768846340969</v>
      </c>
      <c r="O22" s="21" t="n">
        <f aca="false">SUM(K22:M22)</f>
        <v>575.43973234543</v>
      </c>
    </row>
    <row r="24" customFormat="false" ht="15" hidden="false" customHeight="false" outlineLevel="0" collapsed="false">
      <c r="A24" s="12" t="s">
        <v>1169</v>
      </c>
      <c r="B24" s="19" t="n">
        <f aca="false">B6*100000/B5</f>
        <v>647.604695429856</v>
      </c>
      <c r="C24" s="19" t="n">
        <f aca="false">C6*100000/C5</f>
        <v>652.447877762162</v>
      </c>
      <c r="D24" s="19" t="n">
        <f aca="false">D6*100000/D5</f>
        <v>646.686720746977</v>
      </c>
      <c r="E24" s="19" t="n">
        <f aca="false">E6*100000/E5</f>
        <v>647.341596645838</v>
      </c>
      <c r="F24" s="19" t="n">
        <f aca="false">F6*100000/F5</f>
        <v>650.29654424316</v>
      </c>
      <c r="G24" s="19" t="n">
        <f aca="false">G6*100000/G5</f>
        <v>649.023995290985</v>
      </c>
      <c r="H24" s="19" t="n">
        <f aca="false">H6*100000/H5</f>
        <v>651.141856437337</v>
      </c>
      <c r="I24" s="19" t="n">
        <f aca="false">I6*100000/I5</f>
        <v>654.029189543056</v>
      </c>
      <c r="J24" s="19" t="n">
        <f aca="false">J6*100000/J5</f>
        <v>648.919674781406</v>
      </c>
      <c r="K24" s="19" t="n">
        <f aca="false">K6*100000/K5</f>
        <v>647.691349499482</v>
      </c>
      <c r="L24" s="19" t="n">
        <f aca="false">L6*100000/L5</f>
        <v>648.655888319576</v>
      </c>
      <c r="M24" s="19" t="n">
        <f aca="false">M6*100000/M5</f>
        <v>649.483253538564</v>
      </c>
      <c r="N24" s="19" t="n">
        <f aca="false">N6*100000/N5</f>
        <v>649.482587537487</v>
      </c>
      <c r="O24" s="19" t="n">
        <f aca="false">O6*100000/O5</f>
        <v>648.627588634731</v>
      </c>
    </row>
    <row r="25" customFormat="false" ht="15" hidden="false" customHeight="false" outlineLevel="0" collapsed="false">
      <c r="A25" s="12" t="s">
        <v>420</v>
      </c>
      <c r="B25" s="20" t="n">
        <f aca="false">B7/B6</f>
        <v>0.0616170315180999</v>
      </c>
      <c r="C25" s="20" t="n">
        <f aca="false">C7/C6</f>
        <v>0.0608031180606868</v>
      </c>
      <c r="D25" s="20" t="n">
        <f aca="false">D7/D6</f>
        <v>0.061213938954899</v>
      </c>
      <c r="E25" s="20" t="n">
        <f aca="false">E7/E6</f>
        <v>0.0606163707253895</v>
      </c>
      <c r="F25" s="20" t="n">
        <f aca="false">F7/F6</f>
        <v>0.0607703917907783</v>
      </c>
      <c r="G25" s="20" t="n">
        <f aca="false">G7/G6</f>
        <v>0.0605316693067134</v>
      </c>
      <c r="H25" s="20" t="n">
        <f aca="false">H7/H6</f>
        <v>0.0596072403046724</v>
      </c>
      <c r="I25" s="20" t="n">
        <f aca="false">I7/I6</f>
        <v>0.0603802273145169</v>
      </c>
      <c r="J25" s="20" t="n">
        <f aca="false">J7/J6</f>
        <v>0.059249450649617</v>
      </c>
      <c r="K25" s="20" t="n">
        <f aca="false">K7/K6</f>
        <v>0.0588328092305575</v>
      </c>
      <c r="L25" s="20" t="n">
        <f aca="false">L7/L6</f>
        <v>0.0582941303332412</v>
      </c>
      <c r="M25" s="20" t="n">
        <f aca="false">M7/M6</f>
        <v>0.059359415607969</v>
      </c>
      <c r="N25" s="20" t="n">
        <f aca="false">N7/N6</f>
        <v>0.0600047752270122</v>
      </c>
      <c r="O25" s="20" t="n">
        <f aca="false">O7/O6</f>
        <v>0.058830842470925</v>
      </c>
    </row>
    <row r="26" customFormat="false" ht="15" hidden="false" customHeight="false" outlineLevel="0" collapsed="false">
      <c r="A26" s="12" t="s">
        <v>421</v>
      </c>
      <c r="B26" s="20" t="n">
        <f aca="false">B9/B8</f>
        <v>0.167748572793742</v>
      </c>
      <c r="C26" s="20" t="n">
        <f aca="false">C9/C8</f>
        <v>0.168188389892079</v>
      </c>
      <c r="D26" s="20" t="n">
        <f aca="false">D9/D8</f>
        <v>0.167662259525155</v>
      </c>
      <c r="E26" s="20" t="n">
        <f aca="false">E9/E8</f>
        <v>0.167493125855635</v>
      </c>
      <c r="F26" s="20" t="n">
        <f aca="false">F9/F8</f>
        <v>0.167990430223681</v>
      </c>
      <c r="G26" s="20" t="n">
        <f aca="false">G9/G8</f>
        <v>0.167757563096531</v>
      </c>
      <c r="H26" s="20" t="n">
        <f aca="false">H9/H8</f>
        <v>0.168057686726898</v>
      </c>
      <c r="I26" s="20" t="n">
        <f aca="false">I9/I8</f>
        <v>0.167364445865562</v>
      </c>
      <c r="J26" s="20" t="n">
        <f aca="false">J9/J8</f>
        <v>0.167476516787179</v>
      </c>
      <c r="K26" s="20" t="n">
        <f aca="false">K9/K8</f>
        <v>0.167971122023037</v>
      </c>
      <c r="L26" s="20" t="n">
        <f aca="false">L9/L8</f>
        <v>0.167613206742698</v>
      </c>
      <c r="M26" s="20" t="n">
        <f aca="false">M9/M8</f>
        <v>0.167621575939641</v>
      </c>
      <c r="N26" s="20" t="n">
        <f aca="false">N9/N8</f>
        <v>0.167732457530527</v>
      </c>
      <c r="O26" s="20" t="n">
        <f aca="false">O9/O8</f>
        <v>0.167731058372485</v>
      </c>
    </row>
    <row r="27" customFormat="false" ht="15" hidden="false" customHeight="false" outlineLevel="0" collapsed="false">
      <c r="A27" s="12" t="s">
        <v>330</v>
      </c>
      <c r="B27" s="20" t="n">
        <f aca="false">B12/B8</f>
        <v>0.0256012568476568</v>
      </c>
      <c r="C27" s="20" t="n">
        <f aca="false">C12/C8</f>
        <v>0.0252586009258871</v>
      </c>
      <c r="D27" s="20" t="n">
        <f aca="false">D12/D8</f>
        <v>0.0253126959180093</v>
      </c>
      <c r="E27" s="20" t="n">
        <f aca="false">E12/E8</f>
        <v>0.0253865570707696</v>
      </c>
      <c r="F27" s="20" t="n">
        <f aca="false">F12/F8</f>
        <v>0.0252507928166354</v>
      </c>
      <c r="G27" s="20" t="n">
        <f aca="false">G12/G8</f>
        <v>0.0249040882081185</v>
      </c>
      <c r="H27" s="20" t="n">
        <f aca="false">H12/H8</f>
        <v>0.024716918479077</v>
      </c>
      <c r="I27" s="20" t="n">
        <f aca="false">I12/I8</f>
        <v>0.0247919062333681</v>
      </c>
      <c r="J27" s="20" t="n">
        <f aca="false">J12/J8</f>
        <v>0.0247566162731015</v>
      </c>
      <c r="K27" s="20" t="n">
        <f aca="false">K12/K8</f>
        <v>0.0247707865073144</v>
      </c>
      <c r="L27" s="20" t="n">
        <f aca="false">L12/L8</f>
        <v>0.0249087232948713</v>
      </c>
      <c r="M27" s="20" t="n">
        <f aca="false">M12/M8</f>
        <v>0.0245623347663529</v>
      </c>
      <c r="N27" s="20" t="n">
        <f aca="false">N12/N8</f>
        <v>0.0249837304663436</v>
      </c>
      <c r="O27" s="20" t="n">
        <f aca="false">O12/O8</f>
        <v>0.0247462309874041</v>
      </c>
    </row>
    <row r="28" customFormat="false" ht="15" hidden="false" customHeight="false" outlineLevel="0" collapsed="false">
      <c r="A28" s="12" t="s">
        <v>1170</v>
      </c>
      <c r="B28" s="20" t="n">
        <f aca="false">B17/B8</f>
        <v>0.0998067231669593</v>
      </c>
      <c r="C28" s="20" t="n">
        <f aca="false">C17/C8</f>
        <v>0.101973707537978</v>
      </c>
      <c r="D28" s="20" t="n">
        <f aca="false">D17/D8</f>
        <v>0.100792548542864</v>
      </c>
      <c r="E28" s="20" t="n">
        <f aca="false">E17/E8</f>
        <v>0.0996703155366997</v>
      </c>
      <c r="F28" s="20" t="n">
        <f aca="false">F17/F8</f>
        <v>0.100613664685709</v>
      </c>
      <c r="G28" s="20" t="n">
        <f aca="false">G17/G8</f>
        <v>0.10215498589138</v>
      </c>
      <c r="H28" s="20" t="n">
        <f aca="false">H17/H8</f>
        <v>0.102603447497487</v>
      </c>
      <c r="I28" s="20" t="n">
        <f aca="false">I17/I8</f>
        <v>0.102706081380291</v>
      </c>
      <c r="J28" s="20" t="n">
        <f aca="false">J17/J8</f>
        <v>0.102311678377789</v>
      </c>
      <c r="K28" s="20" t="n">
        <f aca="false">K17/K8</f>
        <v>0.102777748457112</v>
      </c>
      <c r="L28" s="20" t="n">
        <f aca="false">L17/L8</f>
        <v>0.102250576343048</v>
      </c>
      <c r="M28" s="20" t="n">
        <f aca="false">M17/M8</f>
        <v>0.102941780132188</v>
      </c>
      <c r="N28" s="20" t="n">
        <f aca="false">N17/N8</f>
        <v>0.101832290835138</v>
      </c>
      <c r="O28" s="20" t="n">
        <f aca="false">O17/O8</f>
        <v>0.102655765189287</v>
      </c>
    </row>
    <row r="29" customFormat="false" ht="15" hidden="false" customHeight="false" outlineLevel="0" collapsed="false">
      <c r="A29" s="12" t="s">
        <v>1171</v>
      </c>
      <c r="B29" s="20" t="n">
        <f aca="false">B22/B8</f>
        <v>-0.00974736538176857</v>
      </c>
      <c r="C29" s="20" t="n">
        <f aca="false">C22/C8</f>
        <v>-0.00401877616428114</v>
      </c>
      <c r="D29" s="20" t="n">
        <f aca="false">D22/D8</f>
        <v>-0.00122402218831517</v>
      </c>
      <c r="E29" s="20" t="n">
        <f aca="false">E22/E8</f>
        <v>-0.00252779186666843</v>
      </c>
      <c r="F29" s="20" t="n">
        <f aca="false">F22/F8</f>
        <v>-0.00808333477073</v>
      </c>
      <c r="G29" s="20" t="n">
        <f aca="false">G22/G8</f>
        <v>0.00725140994023453</v>
      </c>
      <c r="H29" s="20" t="n">
        <f aca="false">H22/H8</f>
        <v>0.00934877389528772</v>
      </c>
      <c r="I29" s="20" t="n">
        <f aca="false">I22/I8</f>
        <v>0.0164691183785877</v>
      </c>
      <c r="J29" s="20" t="n">
        <f aca="false">J22/J8</f>
        <v>0.0146812612847369</v>
      </c>
      <c r="K29" s="20" t="n">
        <f aca="false">K22/K8</f>
        <v>0.0163595166469935</v>
      </c>
      <c r="L29" s="20" t="n">
        <f aca="false">L22/L8</f>
        <v>0.0187247910370474</v>
      </c>
      <c r="M29" s="20" t="n">
        <f aca="false">M22/M8</f>
        <v>0.0195101111671591</v>
      </c>
      <c r="N29" s="20" t="n">
        <f aca="false">N22/N8</f>
        <v>0.0076954530517893</v>
      </c>
      <c r="O29" s="20" t="n">
        <f aca="false">O22/O8</f>
        <v>0.018232759975489</v>
      </c>
    </row>
    <row r="30" customFormat="false" ht="15" hidden="false" customHeight="false" outlineLevel="0" collapsed="false">
      <c r="A30" s="12" t="s">
        <v>1172</v>
      </c>
      <c r="B30" s="32" t="n">
        <f aca="false">B5/DAY(EOMONTH(B$4,0))</f>
        <v>40526.7096774194</v>
      </c>
      <c r="C30" s="32" t="n">
        <f aca="false">C5/DAY(EOMONTH(C$4,0))</f>
        <v>43546.8</v>
      </c>
      <c r="D30" s="32" t="n">
        <f aca="false">D5/DAY(EOMONTH(D$4,0))</f>
        <v>44207.4516129032</v>
      </c>
      <c r="E30" s="32" t="n">
        <f aca="false">E5/DAY(EOMONTH(E$4,0))</f>
        <v>43401.064516129</v>
      </c>
      <c r="F30" s="32" t="n">
        <f aca="false">F5/DAY(EOMONTH(F$4,0))</f>
        <v>44941.5714285714</v>
      </c>
      <c r="G30" s="32" t="n">
        <f aca="false">G5/DAY(EOMONTH(G$4,0))</f>
        <v>47869.7419354839</v>
      </c>
      <c r="H30" s="32" t="n">
        <f aca="false">H5/DAY(EOMONTH(H$4,0))</f>
        <v>50675.2</v>
      </c>
      <c r="I30" s="32" t="n">
        <f aca="false">I5/DAY(EOMONTH(I$4,0))</f>
        <v>54547.4838709677</v>
      </c>
      <c r="J30" s="32" t="n">
        <f aca="false">J5/DAY(EOMONTH(J$4,0))</f>
        <v>55464.2333333333</v>
      </c>
      <c r="K30" s="32" t="n">
        <f aca="false">K5/DAY(EOMONTH(K$4,0))</f>
        <v>53660.5161290323</v>
      </c>
      <c r="L30" s="32" t="n">
        <f aca="false">L5/DAY(EOMONTH(L$4,0))</f>
        <v>56258.4516129032</v>
      </c>
      <c r="M30" s="32" t="n">
        <f aca="false">M5/DAY(EOMONTH(M$4,0))</f>
        <v>58747.9333333333</v>
      </c>
      <c r="N30" s="32" t="n">
        <f aca="false">N5/365</f>
        <v>49495.898630137</v>
      </c>
      <c r="O30" s="32" t="n">
        <f aca="false">O5/'Assumptions &amp; Data'!$C$63</f>
        <v>56194.847826087</v>
      </c>
    </row>
    <row r="31" customFormat="false" ht="15" hidden="false" customHeight="false" outlineLevel="0" collapsed="false">
      <c r="A31" s="12" t="s">
        <v>310</v>
      </c>
      <c r="B31" s="19" t="n">
        <f aca="false">B17*100000/B5</f>
        <v>60.6526670834683</v>
      </c>
      <c r="C31" s="19" t="n">
        <f aca="false">C17*100000/C5</f>
        <v>62.4871438507319</v>
      </c>
      <c r="D31" s="19" t="n">
        <f aca="false">D17*100000/D5</f>
        <v>61.1912045302643</v>
      </c>
      <c r="E31" s="19" t="n">
        <f aca="false">E17*100000/E5</f>
        <v>60.6097280298037</v>
      </c>
      <c r="F31" s="19" t="n">
        <f aca="false">F17*100000/F5</f>
        <v>61.4525895942569</v>
      </c>
      <c r="G31" s="19" t="n">
        <f aca="false">G17*100000/G5</f>
        <v>62.2877246307708</v>
      </c>
      <c r="H31" s="19" t="n">
        <f aca="false">H17*100000/H5</f>
        <v>62.8270753628679</v>
      </c>
      <c r="I31" s="19" t="n">
        <f aca="false">I17*100000/I5</f>
        <v>63.1168677324067</v>
      </c>
      <c r="J31" s="19" t="n">
        <f aca="false">J17*100000/J5</f>
        <v>62.4583679139978</v>
      </c>
      <c r="K31" s="19" t="n">
        <f aca="false">K17*100000/K5</f>
        <v>62.651860937875</v>
      </c>
      <c r="L31" s="19" t="n">
        <f aca="false">L17*100000/L5</f>
        <v>62.4590546767998</v>
      </c>
      <c r="M31" s="19" t="n">
        <f aca="false">M17*100000/M5</f>
        <v>62.8902533558942</v>
      </c>
      <c r="N31" s="19" t="n">
        <f aca="false">N17*100000/N5</f>
        <v>62.1696859362913</v>
      </c>
      <c r="O31" s="19" t="n">
        <f aca="false">O17*100000/O5</f>
        <v>62.6680885247764</v>
      </c>
    </row>
    <row r="32" customFormat="false" ht="15" hidden="false" customHeight="false" outlineLevel="0" collapsed="false">
      <c r="A32" s="12" t="s">
        <v>1173</v>
      </c>
      <c r="B32" s="19" t="n">
        <f aca="false">B22*100000/B5</f>
        <v>-5.92348580017353</v>
      </c>
      <c r="C32" s="19" t="n">
        <f aca="false">C22*100000/C5</f>
        <v>-2.46261365154153</v>
      </c>
      <c r="D32" s="19" t="n">
        <f aca="false">D22*100000/D5</f>
        <v>-0.743104457200254</v>
      </c>
      <c r="E32" s="19" t="n">
        <f aca="false">E22*100000/E5</f>
        <v>-1.53715553853454</v>
      </c>
      <c r="F32" s="19" t="n">
        <f aca="false">F22*100000/F5</f>
        <v>-4.93712117305688</v>
      </c>
      <c r="G32" s="19" t="n">
        <f aca="false">G22*100000/G5</f>
        <v>4.4214564918292</v>
      </c>
      <c r="H32" s="19" t="n">
        <f aca="false">H22*100000/H5</f>
        <v>5.72452618693966</v>
      </c>
      <c r="I32" s="19" t="n">
        <f aca="false">I22*100000/I5</f>
        <v>10.1209115604536</v>
      </c>
      <c r="J32" s="19" t="n">
        <f aca="false">J22*100000/J5</f>
        <v>8.96249219348844</v>
      </c>
      <c r="K32" s="19" t="n">
        <f aca="false">K22*100000/K5</f>
        <v>9.97252982639513</v>
      </c>
      <c r="L32" s="19" t="n">
        <f aca="false">L22*100000/L5</f>
        <v>11.437908606704</v>
      </c>
      <c r="M32" s="19" t="n">
        <f aca="false">M22*100000/M5</f>
        <v>11.9193182081046</v>
      </c>
      <c r="N32" s="19" t="n">
        <f aca="false">N22*100000/N5</f>
        <v>4.6981551278441</v>
      </c>
      <c r="O32" s="19" t="n">
        <f aca="false">O22*100000/O5</f>
        <v>11.1305216427746</v>
      </c>
    </row>
    <row r="33" customFormat="false" ht="15" hidden="false" customHeight="false" outlineLevel="0" collapsed="false">
      <c r="A33" s="12" t="s">
        <v>1174</v>
      </c>
      <c r="B33" s="32" t="n">
        <f aca="false">COUNTIFS($C$71:$C$790,B$4,$V$71:$V$790,"&lt;0")</f>
        <v>35</v>
      </c>
      <c r="C33" s="32" t="n">
        <f aca="false">COUNTIFS($C$71:$C$790,C$4,$V$71:$V$790,"&lt;0")</f>
        <v>32</v>
      </c>
      <c r="D33" s="32" t="n">
        <f aca="false">COUNTIFS($C$71:$C$790,D$4,$V$71:$V$790,"&lt;0")</f>
        <v>30</v>
      </c>
      <c r="E33" s="32" t="n">
        <f aca="false">COUNTIFS($C$71:$C$790,E$4,$V$71:$V$790,"&lt;0")</f>
        <v>28</v>
      </c>
      <c r="F33" s="32" t="n">
        <f aca="false">COUNTIFS($C$71:$C$790,F$4,$V$71:$V$790,"&lt;0")</f>
        <v>29</v>
      </c>
      <c r="G33" s="32" t="n">
        <f aca="false">COUNTIFS($C$71:$C$790,G$4,$V$71:$V$790,"&lt;0")</f>
        <v>26</v>
      </c>
      <c r="H33" s="32" t="n">
        <f aca="false">COUNTIFS($C$71:$C$790,H$4,$V$71:$V$790,"&lt;0")</f>
        <v>26</v>
      </c>
      <c r="I33" s="32" t="n">
        <f aca="false">COUNTIFS($C$71:$C$790,I$4,$V$71:$V$790,"&lt;0")</f>
        <v>22</v>
      </c>
      <c r="J33" s="32" t="n">
        <f aca="false">COUNTIFS($C$71:$C$790,J$4,$V$71:$V$790,"&lt;0")</f>
        <v>21</v>
      </c>
      <c r="K33" s="32" t="n">
        <f aca="false">COUNTIFS($C$71:$C$790,K$4,$V$71:$V$790,"&lt;0")</f>
        <v>22</v>
      </c>
      <c r="L33" s="32" t="n">
        <f aca="false">COUNTIFS($C$71:$C$790,L$4,$V$71:$V$790,"&lt;0")</f>
        <v>22</v>
      </c>
      <c r="M33" s="32" t="n">
        <f aca="false">COUNTIFS($C$71:$C$790,M$4,$V$71:$V$790,"&lt;0")</f>
        <v>19</v>
      </c>
    </row>
    <row r="34" customFormat="false" ht="15" hidden="false" customHeight="false" outlineLevel="0" collapsed="false">
      <c r="A34" s="12" t="s">
        <v>1175</v>
      </c>
      <c r="B34" s="32" t="n">
        <f aca="false">COUNTIFS($C$71:$C$790,B$4,$V$71:$V$790,"&gt;=0")</f>
        <v>25</v>
      </c>
      <c r="C34" s="32" t="n">
        <f aca="false">COUNTIFS($C$71:$C$790,C$4,$V$71:$V$790,"&gt;=0")</f>
        <v>28</v>
      </c>
      <c r="D34" s="32" t="n">
        <f aca="false">COUNTIFS($C$71:$C$790,D$4,$V$71:$V$790,"&gt;=0")</f>
        <v>30</v>
      </c>
      <c r="E34" s="32" t="n">
        <f aca="false">COUNTIFS($C$71:$C$790,E$4,$V$71:$V$790,"&gt;=0")</f>
        <v>32</v>
      </c>
      <c r="F34" s="32" t="n">
        <f aca="false">COUNTIFS($C$71:$C$790,F$4,$V$71:$V$790,"&gt;=0")</f>
        <v>31</v>
      </c>
      <c r="G34" s="32" t="n">
        <f aca="false">COUNTIFS($C$71:$C$790,G$4,$V$71:$V$790,"&gt;=0")</f>
        <v>34</v>
      </c>
      <c r="H34" s="32" t="n">
        <f aca="false">COUNTIFS($C$71:$C$790,H$4,$V$71:$V$790,"&gt;=0")</f>
        <v>34</v>
      </c>
      <c r="I34" s="32" t="n">
        <f aca="false">COUNTIFS($C$71:$C$790,I$4,$V$71:$V$790,"&gt;=0")</f>
        <v>38</v>
      </c>
      <c r="J34" s="32" t="n">
        <f aca="false">COUNTIFS($C$71:$C$790,J$4,$V$71:$V$790,"&gt;=0")</f>
        <v>39</v>
      </c>
      <c r="K34" s="32" t="n">
        <f aca="false">COUNTIFS($C$71:$C$790,K$4,$V$71:$V$790,"&gt;=0")</f>
        <v>38</v>
      </c>
      <c r="L34" s="32" t="n">
        <f aca="false">COUNTIFS($C$71:$C$790,L$4,$V$71:$V$790,"&gt;=0")</f>
        <v>38</v>
      </c>
      <c r="M34" s="32" t="n">
        <f aca="false">COUNTIFS($C$71:$C$790,M$4,$V$71:$V$790,"&gt;=0")</f>
        <v>41</v>
      </c>
    </row>
    <row r="36" customFormat="false" ht="15" hidden="false" customHeight="false" outlineLevel="0" collapsed="false">
      <c r="A36" s="4" t="s">
        <v>1176</v>
      </c>
    </row>
    <row r="37" customFormat="false" ht="24" hidden="false" customHeight="true" outlineLevel="0" collapsed="false">
      <c r="A37" s="5" t="s">
        <v>1177</v>
      </c>
      <c r="B37" s="5" t="s">
        <v>1178</v>
      </c>
      <c r="C37" s="5" t="s">
        <v>1179</v>
      </c>
      <c r="D37" s="5" t="s">
        <v>1180</v>
      </c>
      <c r="E37" s="5" t="s">
        <v>1181</v>
      </c>
      <c r="F37" s="5" t="s">
        <v>133</v>
      </c>
      <c r="G37" s="34"/>
      <c r="H37" s="34"/>
      <c r="I37" s="34"/>
      <c r="J37" s="34"/>
    </row>
    <row r="38" customFormat="false" ht="15" hidden="false" customHeight="false" outlineLevel="0" collapsed="false">
      <c r="A38" s="8" t="s">
        <v>1182</v>
      </c>
      <c r="B38" s="35" t="n">
        <f aca="false">COUNTA($B$71:$B$790)</f>
        <v>720</v>
      </c>
      <c r="C38" s="35" t="n">
        <f aca="false">COUNTA('Assumptions &amp; Data'!$A$142:$A$201)*12</f>
        <v>720</v>
      </c>
      <c r="D38" s="35" t="n">
        <f aca="false">B38-C38</f>
        <v>0</v>
      </c>
      <c r="E38" s="36" t="n">
        <v>0</v>
      </c>
      <c r="F38" s="6" t="str">
        <f aca="false">IF(ABS(D38)&lt;=E38,"PASS","FAIL")</f>
        <v>PASS</v>
      </c>
    </row>
    <row r="39" customFormat="false" ht="15" hidden="false" customHeight="false" outlineLevel="0" collapsed="false">
      <c r="A39" s="8" t="s">
        <v>1183</v>
      </c>
      <c r="B39" s="35" t="n">
        <f aca="false">SUMPRODUCT(--(COUNTIFS('Assumptions &amp; Data'!$B$205:$B$924,'Assumptions &amp; Data'!$B$205:$B$924,'Assumptions &amp; Data'!$C$205:$C$924,'Assumptions &amp; Data'!$C$205:$C$924)&gt;1))</f>
        <v>0</v>
      </c>
      <c r="C39" s="35" t="n">
        <f aca="false">0</f>
        <v>0</v>
      </c>
      <c r="D39" s="35" t="n">
        <f aca="false">B39-C39</f>
        <v>0</v>
      </c>
      <c r="E39" s="36" t="n">
        <v>0</v>
      </c>
      <c r="F39" s="6" t="str">
        <f aca="false">IF(ABS(D39)&lt;=E39,"PASS","FAIL")</f>
        <v>PASS</v>
      </c>
    </row>
    <row r="40" customFormat="false" ht="22.35" hidden="false" customHeight="false" outlineLevel="0" collapsed="false">
      <c r="A40" s="8" t="s">
        <v>1184</v>
      </c>
      <c r="B40" s="35" t="n">
        <f aca="false">SUMPRODUCT(--(COUNTIF('Assumptions &amp; Data'!$A$142:$A$201,'Assumptions &amp; Data'!$B$205:$B$924)=0))</f>
        <v>0</v>
      </c>
      <c r="C40" s="35" t="n">
        <f aca="false">0</f>
        <v>0</v>
      </c>
      <c r="D40" s="35" t="n">
        <f aca="false">B40-C40</f>
        <v>0</v>
      </c>
      <c r="E40" s="36" t="n">
        <v>0</v>
      </c>
      <c r="F40" s="6" t="str">
        <f aca="false">IF(ABS(D40)&lt;=E40,"PASS","FAIL")</f>
        <v>PASS</v>
      </c>
    </row>
    <row r="41" customFormat="false" ht="15" hidden="false" customHeight="false" outlineLevel="0" collapsed="false">
      <c r="A41" s="8" t="s">
        <v>1185</v>
      </c>
      <c r="B41" s="35" t="n">
        <f aca="false">SUMPRODUCT(--(COUNTIF('Assumptions &amp; Data'!$B$205:$B$924,'Assumptions &amp; Data'!$A$142:$A$201)&lt;&gt;12))</f>
        <v>0</v>
      </c>
      <c r="C41" s="35" t="n">
        <f aca="false">0</f>
        <v>0</v>
      </c>
      <c r="D41" s="35" t="n">
        <f aca="false">B41-C41</f>
        <v>0</v>
      </c>
      <c r="E41" s="36" t="n">
        <v>0</v>
      </c>
      <c r="F41" s="6" t="str">
        <f aca="false">IF(ABS(D41)&lt;=E41,"PASS","FAIL")</f>
        <v>PASS</v>
      </c>
    </row>
    <row r="42" customFormat="false" ht="15" hidden="false" customHeight="false" outlineLevel="0" collapsed="false">
      <c r="A42" s="8" t="s">
        <v>1186</v>
      </c>
      <c r="B42" s="35" t="n">
        <f aca="false">COUNTBLANK('Assumptions &amp; Data'!$A$205:$W$924)</f>
        <v>0</v>
      </c>
      <c r="C42" s="35" t="n">
        <f aca="false">0</f>
        <v>0</v>
      </c>
      <c r="D42" s="35" t="n">
        <f aca="false">B42-C42</f>
        <v>0</v>
      </c>
      <c r="E42" s="36" t="n">
        <v>0</v>
      </c>
      <c r="F42" s="6" t="str">
        <f aca="false">IF(ABS(D42)&lt;=E42,"PASS","FAIL")</f>
        <v>PASS</v>
      </c>
    </row>
    <row r="43" customFormat="false" ht="22.35" hidden="false" customHeight="false" outlineLevel="0" collapsed="false">
      <c r="A43" s="8" t="s">
        <v>1187</v>
      </c>
      <c r="B43" s="35" t="n">
        <f aca="false">COUNTIF('Assumptions &amp; Data'!$D$205:$D$924,"&lt;=0")+COUNTIF('Assumptions &amp; Data'!$F$205:$F$924,"&gt;0.25")+COUNTIF('Assumptions &amp; Data'!$J$205:$J$924,"&gt;0.1")</f>
        <v>0</v>
      </c>
      <c r="C43" s="35" t="n">
        <f aca="false">0</f>
        <v>0</v>
      </c>
      <c r="D43" s="35" t="n">
        <f aca="false">B43-C43</f>
        <v>0</v>
      </c>
      <c r="E43" s="36" t="n">
        <v>0</v>
      </c>
      <c r="F43" s="6" t="str">
        <f aca="false">IF(ABS(D43)&lt;=E43,"PASS","FAIL")</f>
        <v>PASS</v>
      </c>
    </row>
    <row r="44" customFormat="false" ht="15" hidden="false" customHeight="false" outlineLevel="0" collapsed="false">
      <c r="A44" s="8" t="s">
        <v>1188</v>
      </c>
      <c r="B44" s="35" t="n">
        <f aca="false">N6-N7</f>
        <v>110294.850820202</v>
      </c>
      <c r="C44" s="35" t="n">
        <f aca="false">N8</f>
        <v>110294.850820202</v>
      </c>
      <c r="D44" s="35" t="n">
        <f aca="false">B44-C44</f>
        <v>0</v>
      </c>
      <c r="E44" s="36" t="n">
        <v>0.01</v>
      </c>
      <c r="F44" s="6" t="str">
        <f aca="false">IF(ABS(D44)&lt;=E44,"PASS","FAIL")</f>
        <v>PASS</v>
      </c>
    </row>
    <row r="45" customFormat="false" ht="22.35" hidden="false" customHeight="false" outlineLevel="0" collapsed="false">
      <c r="A45" s="8" t="s">
        <v>1189</v>
      </c>
      <c r="B45" s="35" t="n">
        <f aca="false">N9+N10+N11-N12</f>
        <v>21174.5540517552</v>
      </c>
      <c r="C45" s="35" t="n">
        <f aca="false">N13</f>
        <v>21174.5540517552</v>
      </c>
      <c r="D45" s="35" t="n">
        <f aca="false">B45-C45</f>
        <v>0</v>
      </c>
      <c r="E45" s="36" t="n">
        <v>0.01</v>
      </c>
      <c r="F45" s="6" t="str">
        <f aca="false">IF(ABS(D45)&lt;=E45,"PASS","FAIL")</f>
        <v>PASS</v>
      </c>
    </row>
    <row r="46" customFormat="false" ht="22.35" hidden="false" customHeight="false" outlineLevel="0" collapsed="false">
      <c r="A46" s="8" t="s">
        <v>1190</v>
      </c>
      <c r="B46" s="35" t="n">
        <f aca="false">N13-N14-N15-N16</f>
        <v>11231.577326341</v>
      </c>
      <c r="C46" s="35" t="n">
        <f aca="false">N17</f>
        <v>11231.577326341</v>
      </c>
      <c r="D46" s="35" t="n">
        <f aca="false">B46-C46</f>
        <v>0</v>
      </c>
      <c r="E46" s="36" t="n">
        <v>0.01</v>
      </c>
      <c r="F46" s="6" t="str">
        <f aca="false">IF(ABS(D46)&lt;=E46,"PASS","FAIL")</f>
        <v>PASS</v>
      </c>
    </row>
    <row r="47" customFormat="false" ht="22.35" hidden="false" customHeight="false" outlineLevel="0" collapsed="false">
      <c r="A47" s="8" t="s">
        <v>1191</v>
      </c>
      <c r="B47" s="35" t="n">
        <f aca="false">N17-N18-N19-N20-N21</f>
        <v>848.768846340968</v>
      </c>
      <c r="C47" s="35" t="n">
        <f aca="false">N22</f>
        <v>848.768846340969</v>
      </c>
      <c r="D47" s="35" t="n">
        <f aca="false">B47-C47</f>
        <v>0</v>
      </c>
      <c r="E47" s="36" t="n">
        <v>0.01</v>
      </c>
      <c r="F47" s="6" t="str">
        <f aca="false">IF(ABS(D47)&lt;=E47,"PASS","FAIL")</f>
        <v>PASS</v>
      </c>
    </row>
    <row r="48" customFormat="false" ht="22.35" hidden="false" customHeight="false" outlineLevel="0" collapsed="false">
      <c r="A48" s="8" t="s">
        <v>1192</v>
      </c>
      <c r="B48" s="35" t="n">
        <f aca="false">N22</f>
        <v>848.768846340969</v>
      </c>
      <c r="C48" s="35" t="n">
        <f aca="false">SUM($V$71:$V$790)/100000</f>
        <v>848.768846340969</v>
      </c>
      <c r="D48" s="35" t="n">
        <f aca="false">B48-C48</f>
        <v>0</v>
      </c>
      <c r="E48" s="36" t="n">
        <v>0.01</v>
      </c>
      <c r="F48" s="6" t="str">
        <f aca="false">IF(ABS(D48)&lt;=E48,"PASS","FAIL")</f>
        <v>PASS</v>
      </c>
    </row>
    <row r="49" customFormat="false" ht="15" hidden="false" customHeight="false" outlineLevel="0" collapsed="false">
      <c r="A49" s="8" t="s">
        <v>1193</v>
      </c>
      <c r="B49" s="35" t="n">
        <f aca="false">'Assumptions &amp; Data'!B103</f>
        <v>18066</v>
      </c>
      <c r="C49" s="35" t="n">
        <f aca="false">N5/1000</f>
        <v>18066.003</v>
      </c>
      <c r="D49" s="35" t="n">
        <f aca="false">B49-C49</f>
        <v>-0.00300000000061118</v>
      </c>
      <c r="E49" s="36" t="n">
        <v>0.2</v>
      </c>
      <c r="F49" s="6" t="str">
        <f aca="false">IF(ABS(D49)&lt;=E49,"PASS","FAIL")</f>
        <v>PASS</v>
      </c>
    </row>
    <row r="50" customFormat="false" ht="15" hidden="false" customHeight="false" outlineLevel="0" collapsed="false">
      <c r="A50" s="8" t="s">
        <v>1194</v>
      </c>
      <c r="B50" s="35" t="n">
        <f aca="false">'Assumptions &amp; Data'!C103</f>
        <v>117335.54</v>
      </c>
      <c r="C50" s="35" t="n">
        <f aca="false">N6</f>
        <v>117335.543749</v>
      </c>
      <c r="D50" s="35" t="n">
        <f aca="false">B50-C50</f>
        <v>-0.00374899999587797</v>
      </c>
      <c r="E50" s="36" t="n">
        <v>0.5</v>
      </c>
      <c r="F50" s="6" t="str">
        <f aca="false">IF(ABS(D50)&lt;=E50,"PASS","FAIL")</f>
        <v>PASS</v>
      </c>
    </row>
    <row r="51" customFormat="false" ht="22.35" hidden="false" customHeight="false" outlineLevel="0" collapsed="false">
      <c r="A51" s="8" t="s">
        <v>1195</v>
      </c>
      <c r="B51" s="35" t="n">
        <f aca="false">'Assumptions &amp; Data'!L103</f>
        <v>11231.59</v>
      </c>
      <c r="C51" s="35" t="n">
        <f aca="false">N17</f>
        <v>11231.577326341</v>
      </c>
      <c r="D51" s="35" t="n">
        <f aca="false">B51-C51</f>
        <v>0.0126736590318615</v>
      </c>
      <c r="E51" s="36" t="n">
        <v>0.5</v>
      </c>
      <c r="F51" s="6" t="str">
        <f aca="false">IF(ABS(D51)&lt;=E51,"PASS","FAIL")</f>
        <v>PASS</v>
      </c>
    </row>
    <row r="52" customFormat="false" ht="15" hidden="false" customHeight="false" outlineLevel="0" collapsed="false">
      <c r="A52" s="8" t="s">
        <v>1196</v>
      </c>
      <c r="B52" s="35" t="n">
        <f aca="false">'Assumptions &amp; Data'!C110</f>
        <v>117335.54</v>
      </c>
      <c r="C52" s="35" t="n">
        <f aca="false">N6</f>
        <v>117335.543749</v>
      </c>
      <c r="D52" s="35" t="n">
        <f aca="false">B52-C52</f>
        <v>-0.00374899999587797</v>
      </c>
      <c r="E52" s="36" t="n">
        <v>0.5</v>
      </c>
      <c r="F52" s="6" t="str">
        <f aca="false">IF(ABS(D52)&lt;=E52,"PASS","FAIL")</f>
        <v>PASS</v>
      </c>
    </row>
    <row r="53" customFormat="false" ht="15" hidden="false" customHeight="false" outlineLevel="0" collapsed="false">
      <c r="A53" s="8" t="s">
        <v>1197</v>
      </c>
      <c r="B53" s="35" t="n">
        <f aca="false">'Assumptions &amp; Data'!L110</f>
        <v>11231.59</v>
      </c>
      <c r="C53" s="35" t="n">
        <f aca="false">N17</f>
        <v>11231.577326341</v>
      </c>
      <c r="D53" s="35" t="n">
        <f aca="false">B53-C53</f>
        <v>0.0126736590354994</v>
      </c>
      <c r="E53" s="36" t="n">
        <v>0.5</v>
      </c>
      <c r="F53" s="6" t="str">
        <f aca="false">IF(ABS(D53)&lt;=E53,"PASS","FAIL")</f>
        <v>PASS</v>
      </c>
    </row>
    <row r="54" customFormat="false" ht="15" hidden="false" customHeight="false" outlineLevel="0" collapsed="false">
      <c r="A54" s="8" t="s">
        <v>1198</v>
      </c>
      <c r="B54" s="35" t="n">
        <f aca="false">'Assumptions &amp; Data'!C138</f>
        <v>110294.85</v>
      </c>
      <c r="C54" s="35" t="n">
        <f aca="false">N8</f>
        <v>110294.850820202</v>
      </c>
      <c r="D54" s="35" t="n">
        <f aca="false">B54-C54</f>
        <v>-0.000820201996248215</v>
      </c>
      <c r="E54" s="36" t="n">
        <v>0.5</v>
      </c>
      <c r="F54" s="6" t="str">
        <f aca="false">IF(ABS(D54)&lt;=E54,"PASS","FAIL")</f>
        <v>PASS</v>
      </c>
    </row>
    <row r="55" customFormat="false" ht="15" hidden="false" customHeight="false" outlineLevel="0" collapsed="false">
      <c r="A55" s="8" t="s">
        <v>1199</v>
      </c>
      <c r="B55" s="35" t="n">
        <f aca="false">'Assumptions &amp; Data'!E138</f>
        <v>2755.58</v>
      </c>
      <c r="C55" s="35" t="n">
        <f aca="false">N12</f>
        <v>2755.5768247175</v>
      </c>
      <c r="D55" s="35" t="n">
        <f aca="false">B55-C55</f>
        <v>0.00317528249615862</v>
      </c>
      <c r="E55" s="36" t="n">
        <v>0.5</v>
      </c>
      <c r="F55" s="6" t="str">
        <f aca="false">IF(ABS(D55)&lt;=E55,"PASS","FAIL")</f>
        <v>PASS</v>
      </c>
    </row>
    <row r="56" customFormat="false" ht="22.35" hidden="false" customHeight="false" outlineLevel="0" collapsed="false">
      <c r="A56" s="8" t="s">
        <v>1200</v>
      </c>
      <c r="B56" s="35" t="n">
        <f aca="false">'Diagnosis &amp; Store Segmentation'!E21</f>
        <v>191.813244115143</v>
      </c>
      <c r="C56" s="35" t="n">
        <f aca="false">O22/3</f>
        <v>191.813244115143</v>
      </c>
      <c r="D56" s="35" t="n">
        <f aca="false">B56-C56</f>
        <v>0</v>
      </c>
      <c r="E56" s="36" t="n">
        <v>0.01</v>
      </c>
      <c r="F56" s="6" t="str">
        <f aca="false">IF(ABS(D56)&lt;=E56,"PASS","FAIL")</f>
        <v>PASS</v>
      </c>
    </row>
    <row r="57" customFormat="false" ht="22.35" hidden="false" customHeight="false" outlineLevel="0" collapsed="false">
      <c r="A57" s="8" t="s">
        <v>1201</v>
      </c>
      <c r="B57" s="35" t="n">
        <f aca="false">'Business Case &amp; Scenarios'!B109</f>
        <v>0</v>
      </c>
      <c r="C57" s="35" t="n">
        <v>0</v>
      </c>
      <c r="D57" s="35" t="n">
        <f aca="false">B57-C57</f>
        <v>0</v>
      </c>
      <c r="E57" s="36" t="n">
        <v>0.01</v>
      </c>
      <c r="F57" s="6" t="str">
        <f aca="false">IF(ABS(D57)&lt;=E57,"PASS","FAIL")</f>
        <v>PASS</v>
      </c>
    </row>
    <row r="58" customFormat="false" ht="15" hidden="false" customHeight="false" outlineLevel="0" collapsed="false">
      <c r="A58" s="2" t="s">
        <v>1202</v>
      </c>
      <c r="F58" s="2" t="str">
        <f aca="false">IF(COUNTIF(F38:F57,"FAIL")=0,"ALL PASS","REVIEW")</f>
        <v>ALL PASS</v>
      </c>
    </row>
    <row r="68" customFormat="false" ht="15" hidden="false" customHeight="false" outlineLevel="0" collapsed="false">
      <c r="A68" s="4" t="s">
        <v>1203</v>
      </c>
    </row>
    <row r="70" customFormat="false" ht="42" hidden="false" customHeight="true" outlineLevel="0" collapsed="false">
      <c r="A70" s="5" t="s">
        <v>416</v>
      </c>
      <c r="B70" s="5" t="s">
        <v>344</v>
      </c>
      <c r="C70" s="5" t="s">
        <v>417</v>
      </c>
      <c r="D70" s="5" t="s">
        <v>291</v>
      </c>
      <c r="E70" s="5" t="s">
        <v>418</v>
      </c>
      <c r="F70" s="5" t="s">
        <v>7</v>
      </c>
      <c r="G70" s="5" t="s">
        <v>9</v>
      </c>
      <c r="H70" s="5" t="s">
        <v>11</v>
      </c>
      <c r="I70" s="5" t="s">
        <v>13</v>
      </c>
      <c r="J70" s="5" t="s">
        <v>305</v>
      </c>
      <c r="K70" s="5" t="s">
        <v>101</v>
      </c>
      <c r="L70" s="5" t="s">
        <v>306</v>
      </c>
      <c r="M70" s="5" t="s">
        <v>17</v>
      </c>
      <c r="N70" s="5" t="s">
        <v>307</v>
      </c>
      <c r="O70" s="5" t="s">
        <v>308</v>
      </c>
      <c r="P70" s="5" t="s">
        <v>309</v>
      </c>
      <c r="Q70" s="5" t="s">
        <v>21</v>
      </c>
      <c r="R70" s="5" t="s">
        <v>176</v>
      </c>
      <c r="S70" s="5" t="s">
        <v>1166</v>
      </c>
      <c r="T70" s="5" t="s">
        <v>1204</v>
      </c>
      <c r="U70" s="5" t="s">
        <v>1168</v>
      </c>
      <c r="V70" s="5" t="s">
        <v>25</v>
      </c>
      <c r="W70" s="5" t="s">
        <v>1205</v>
      </c>
      <c r="X70" s="5" t="s">
        <v>1206</v>
      </c>
      <c r="Y70" s="5" t="s">
        <v>23</v>
      </c>
    </row>
    <row r="71" customFormat="false" ht="15" hidden="false" customHeight="false" outlineLevel="0" collapsed="false">
      <c r="A71" s="37" t="str">
        <f aca="false">'Assumptions &amp; Data'!A205</f>
        <v>SM0001</v>
      </c>
      <c r="B71" s="37" t="str">
        <f aca="false">'Assumptions &amp; Data'!B205</f>
        <v>DS001</v>
      </c>
      <c r="C71" s="38" t="n">
        <f aca="false">'Assumptions &amp; Data'!C205</f>
        <v>45931</v>
      </c>
      <c r="D71" s="39" t="str">
        <f aca="false">INDEX('Assumptions &amp; Data'!$B$142:$B$201,MATCH(B71,'Assumptions &amp; Data'!$A$142:$A$201,0))</f>
        <v>Delhi NCR</v>
      </c>
      <c r="E71" s="37" t="n">
        <f aca="false">'Assumptions &amp; Data'!D205</f>
        <v>2270</v>
      </c>
      <c r="F71" s="39" t="n">
        <f aca="false">E71*'Assumptions &amp; Data'!E205</f>
        <v>1355190</v>
      </c>
      <c r="G71" s="39" t="n">
        <f aca="false">F71*'Assumptions &amp; Data'!F205</f>
        <v>109228.314</v>
      </c>
      <c r="H71" s="39" t="n">
        <f aca="false">F71-G71</f>
        <v>1245961.686</v>
      </c>
      <c r="I71" s="39" t="n">
        <f aca="false">H71*'Assumptions &amp; Data'!G205</f>
        <v>201098.2161204</v>
      </c>
      <c r="J71" s="39" t="n">
        <f aca="false">E71*'Assumptions &amp; Data'!H205</f>
        <v>29419.2</v>
      </c>
      <c r="K71" s="39" t="n">
        <f aca="false">H71*'Assumptions &amp; Data'!I205</f>
        <v>22302.7141794</v>
      </c>
      <c r="L71" s="39" t="n">
        <f aca="false">H71*'Assumptions &amp; Data'!J205</f>
        <v>52454.9869806</v>
      </c>
      <c r="M71" s="39" t="n">
        <f aca="false">I71+J71+K71-L71</f>
        <v>200365.1433192</v>
      </c>
      <c r="N71" s="39" t="n">
        <f aca="false">E71*'Assumptions &amp; Data'!N205</f>
        <v>110322</v>
      </c>
      <c r="O71" s="39" t="n">
        <f aca="false">E71*'Assumptions &amp; Data'!O205</f>
        <v>23744.2</v>
      </c>
      <c r="P71" s="39" t="n">
        <f aca="false">H71*'Assumptions &amp; Data'!P205</f>
        <v>12210.4245228</v>
      </c>
      <c r="Q71" s="39" t="n">
        <f aca="false">M71-N71-O71-P71</f>
        <v>54088.5187964</v>
      </c>
      <c r="R71" s="39" t="n">
        <f aca="false">'Assumptions &amp; Data'!L205*'Assumptions &amp; Data'!M205</f>
        <v>357000</v>
      </c>
      <c r="S71" s="37" t="n">
        <f aca="false">'Assumptions &amp; Data'!Q205</f>
        <v>471000</v>
      </c>
      <c r="T71" s="37" t="n">
        <f aca="false">'Assumptions &amp; Data'!R205</f>
        <v>142149</v>
      </c>
      <c r="U71" s="37" t="n">
        <f aca="false">'Assumptions &amp; Data'!S205</f>
        <v>41423</v>
      </c>
      <c r="V71" s="39" t="n">
        <f aca="false">Q71-R71-S71-T71-U71</f>
        <v>-957483.4812036</v>
      </c>
      <c r="W71" s="39" t="n">
        <f aca="false">DAY(EOMONTH(C71,0))</f>
        <v>31</v>
      </c>
      <c r="X71" s="40" t="n">
        <f aca="false">E71/W71</f>
        <v>73.2258064516129</v>
      </c>
      <c r="Y71" s="39" t="n">
        <f aca="false">R71+S71+T71+U71</f>
        <v>1011572</v>
      </c>
    </row>
    <row r="72" customFormat="false" ht="15" hidden="false" customHeight="false" outlineLevel="0" collapsed="false">
      <c r="A72" s="37" t="str">
        <f aca="false">'Assumptions &amp; Data'!A206</f>
        <v>SM0002</v>
      </c>
      <c r="B72" s="37" t="str">
        <f aca="false">'Assumptions &amp; Data'!B206</f>
        <v>DS001</v>
      </c>
      <c r="C72" s="38" t="n">
        <f aca="false">'Assumptions &amp; Data'!C206</f>
        <v>45962</v>
      </c>
      <c r="D72" s="39" t="str">
        <f aca="false">INDEX('Assumptions &amp; Data'!$B$142:$B$201,MATCH(B72,'Assumptions &amp; Data'!$A$142:$A$201,0))</f>
        <v>Delhi NCR</v>
      </c>
      <c r="E72" s="37" t="n">
        <f aca="false">'Assumptions &amp; Data'!D206</f>
        <v>3955</v>
      </c>
      <c r="F72" s="39" t="n">
        <f aca="false">E72*'Assumptions &amp; Data'!E206</f>
        <v>2249604</v>
      </c>
      <c r="G72" s="39" t="n">
        <f aca="false">F72*'Assumptions &amp; Data'!F206</f>
        <v>179293.4388</v>
      </c>
      <c r="H72" s="39" t="n">
        <f aca="false">F72-G72</f>
        <v>2070310.5612</v>
      </c>
      <c r="I72" s="39" t="n">
        <f aca="false">H72*'Assumptions &amp; Data'!G206</f>
        <v>341187.18048576</v>
      </c>
      <c r="J72" s="39" t="n">
        <f aca="false">E72*'Assumptions &amp; Data'!H206</f>
        <v>49397.95</v>
      </c>
      <c r="K72" s="39" t="n">
        <f aca="false">H72*'Assumptions &amp; Data'!I206</f>
        <v>37058.55904548</v>
      </c>
      <c r="L72" s="39" t="n">
        <f aca="false">H72*'Assumptions &amp; Data'!J206</f>
        <v>88402.26096324</v>
      </c>
      <c r="M72" s="39" t="n">
        <f aca="false">I72+J72+K72-L72</f>
        <v>339241.428568</v>
      </c>
      <c r="N72" s="39" t="n">
        <f aca="false">E72*'Assumptions &amp; Data'!N206</f>
        <v>189721.35</v>
      </c>
      <c r="O72" s="39" t="n">
        <f aca="false">E72*'Assumptions &amp; Data'!O206</f>
        <v>40261.9</v>
      </c>
      <c r="P72" s="39" t="n">
        <f aca="false">H72*'Assumptions &amp; Data'!P206</f>
        <v>21324.19878036</v>
      </c>
      <c r="Q72" s="39" t="n">
        <f aca="false">M72-N72-O72-P72</f>
        <v>87933.97978764</v>
      </c>
      <c r="R72" s="39" t="n">
        <f aca="false">'Assumptions &amp; Data'!L206*'Assumptions &amp; Data'!M206</f>
        <v>336304</v>
      </c>
      <c r="S72" s="37" t="n">
        <f aca="false">'Assumptions &amp; Data'!Q206</f>
        <v>471000</v>
      </c>
      <c r="T72" s="37" t="n">
        <f aca="false">'Assumptions &amp; Data'!R206</f>
        <v>133431</v>
      </c>
      <c r="U72" s="37" t="n">
        <f aca="false">'Assumptions &amp; Data'!S206</f>
        <v>60769</v>
      </c>
      <c r="V72" s="39" t="n">
        <f aca="false">Q72-R72-S72-T72-U72</f>
        <v>-913570.02021236</v>
      </c>
      <c r="W72" s="39" t="n">
        <f aca="false">DAY(EOMONTH(C72,0))</f>
        <v>30</v>
      </c>
      <c r="X72" s="40" t="n">
        <f aca="false">E72/W72</f>
        <v>131.833333333333</v>
      </c>
      <c r="Y72" s="39" t="n">
        <f aca="false">R72+S72+T72+U72</f>
        <v>1001504</v>
      </c>
    </row>
    <row r="73" customFormat="false" ht="15" hidden="false" customHeight="false" outlineLevel="0" collapsed="false">
      <c r="A73" s="37" t="str">
        <f aca="false">'Assumptions &amp; Data'!A207</f>
        <v>SM0003</v>
      </c>
      <c r="B73" s="37" t="str">
        <f aca="false">'Assumptions &amp; Data'!B207</f>
        <v>DS001</v>
      </c>
      <c r="C73" s="38" t="n">
        <f aca="false">'Assumptions &amp; Data'!C207</f>
        <v>45992</v>
      </c>
      <c r="D73" s="39" t="str">
        <f aca="false">INDEX('Assumptions &amp; Data'!$B$142:$B$201,MATCH(B73,'Assumptions &amp; Data'!$A$142:$A$201,0))</f>
        <v>Delhi NCR</v>
      </c>
      <c r="E73" s="37" t="n">
        <f aca="false">'Assumptions &amp; Data'!D207</f>
        <v>6139</v>
      </c>
      <c r="F73" s="39" t="n">
        <f aca="false">E73*'Assumptions &amp; Data'!E207</f>
        <v>3521330.4</v>
      </c>
      <c r="G73" s="39" t="n">
        <f aca="false">F73*'Assumptions &amp; Data'!F207</f>
        <v>255648.58704</v>
      </c>
      <c r="H73" s="39" t="n">
        <f aca="false">F73-G73</f>
        <v>3265681.81296</v>
      </c>
      <c r="I73" s="39" t="n">
        <f aca="false">H73*'Assumptions &amp; Data'!G207</f>
        <v>531326.430968592</v>
      </c>
      <c r="J73" s="39" t="n">
        <f aca="false">E73*'Assumptions &amp; Data'!H207</f>
        <v>78824.76</v>
      </c>
      <c r="K73" s="39" t="n">
        <f aca="false">H73*'Assumptions &amp; Data'!I207</f>
        <v>62374.522627536</v>
      </c>
      <c r="L73" s="39" t="n">
        <f aca="false">H73*'Assumptions &amp; Data'!J207</f>
        <v>133566.386150064</v>
      </c>
      <c r="M73" s="39" t="n">
        <f aca="false">I73+J73+K73-L73</f>
        <v>538959.327446064</v>
      </c>
      <c r="N73" s="39" t="n">
        <f aca="false">E73*'Assumptions &amp; Data'!N207</f>
        <v>290558.87</v>
      </c>
      <c r="O73" s="39" t="n">
        <f aca="false">E73*'Assumptions &amp; Data'!O207</f>
        <v>63722.82</v>
      </c>
      <c r="P73" s="39" t="n">
        <f aca="false">H73*'Assumptions &amp; Data'!P207</f>
        <v>33636.522673488</v>
      </c>
      <c r="Q73" s="39" t="n">
        <f aca="false">M73-N73-O73-P73</f>
        <v>151041.114772576</v>
      </c>
      <c r="R73" s="39" t="n">
        <f aca="false">'Assumptions &amp; Data'!L207*'Assumptions &amp; Data'!M207</f>
        <v>357646</v>
      </c>
      <c r="S73" s="37" t="n">
        <f aca="false">'Assumptions &amp; Data'!Q207</f>
        <v>471000</v>
      </c>
      <c r="T73" s="37" t="n">
        <f aca="false">'Assumptions &amp; Data'!R207</f>
        <v>129927</v>
      </c>
      <c r="U73" s="37" t="n">
        <f aca="false">'Assumptions &amp; Data'!S207</f>
        <v>93260</v>
      </c>
      <c r="V73" s="39" t="n">
        <f aca="false">Q73-R73-S73-T73-U73</f>
        <v>-900791.885227424</v>
      </c>
      <c r="W73" s="39" t="n">
        <f aca="false">DAY(EOMONTH(C73,0))</f>
        <v>31</v>
      </c>
      <c r="X73" s="40" t="n">
        <f aca="false">E73/W73</f>
        <v>198.032258064516</v>
      </c>
      <c r="Y73" s="39" t="n">
        <f aca="false">R73+S73+T73+U73</f>
        <v>1051833</v>
      </c>
    </row>
    <row r="74" customFormat="false" ht="15" hidden="false" customHeight="false" outlineLevel="0" collapsed="false">
      <c r="A74" s="37" t="str">
        <f aca="false">'Assumptions &amp; Data'!A208</f>
        <v>SM0004</v>
      </c>
      <c r="B74" s="37" t="str">
        <f aca="false">'Assumptions &amp; Data'!B208</f>
        <v>DS001</v>
      </c>
      <c r="C74" s="38" t="n">
        <f aca="false">'Assumptions &amp; Data'!C208</f>
        <v>46023</v>
      </c>
      <c r="D74" s="39" t="str">
        <f aca="false">INDEX('Assumptions &amp; Data'!$B$142:$B$201,MATCH(B74,'Assumptions &amp; Data'!$A$142:$A$201,0))</f>
        <v>Delhi NCR</v>
      </c>
      <c r="E74" s="37" t="n">
        <f aca="false">'Assumptions &amp; Data'!D208</f>
        <v>7343</v>
      </c>
      <c r="F74" s="39" t="n">
        <f aca="false">E74*'Assumptions &amp; Data'!E208</f>
        <v>4430031.9</v>
      </c>
      <c r="G74" s="39" t="n">
        <f aca="false">F74*'Assumptions &amp; Data'!F208</f>
        <v>315861.27447</v>
      </c>
      <c r="H74" s="39" t="n">
        <f aca="false">F74-G74</f>
        <v>4114170.62553</v>
      </c>
      <c r="I74" s="39" t="n">
        <f aca="false">H74*'Assumptions &amp; Data'!G208</f>
        <v>660735.802460118</v>
      </c>
      <c r="J74" s="39" t="n">
        <f aca="false">E74*'Assumptions &amp; Data'!H208</f>
        <v>96707.31</v>
      </c>
      <c r="K74" s="39" t="n">
        <f aca="false">H74*'Assumptions &amp; Data'!I208</f>
        <v>77346.407759964</v>
      </c>
      <c r="L74" s="39" t="n">
        <f aca="false">H74*'Assumptions &amp; Data'!J208</f>
        <v>171149.498022048</v>
      </c>
      <c r="M74" s="39" t="n">
        <f aca="false">I74+J74+K74-L74</f>
        <v>663640.022198034</v>
      </c>
      <c r="N74" s="39" t="n">
        <f aca="false">E74*'Assumptions &amp; Data'!N208</f>
        <v>338292.01</v>
      </c>
      <c r="O74" s="39" t="n">
        <f aca="false">E74*'Assumptions &amp; Data'!O208</f>
        <v>78276.38</v>
      </c>
      <c r="P74" s="39" t="n">
        <f aca="false">H74*'Assumptions &amp; Data'!P208</f>
        <v>42375.957442959</v>
      </c>
      <c r="Q74" s="39" t="n">
        <f aca="false">M74-N74-O74-P74</f>
        <v>204695.674755075</v>
      </c>
      <c r="R74" s="39" t="n">
        <f aca="false">'Assumptions &amp; Data'!L208*'Assumptions &amp; Data'!M208</f>
        <v>336912</v>
      </c>
      <c r="S74" s="37" t="n">
        <f aca="false">'Assumptions &amp; Data'!Q208</f>
        <v>471000</v>
      </c>
      <c r="T74" s="37" t="n">
        <f aca="false">'Assumptions &amp; Data'!R208</f>
        <v>128332</v>
      </c>
      <c r="U74" s="37" t="n">
        <f aca="false">'Assumptions &amp; Data'!S208</f>
        <v>102885</v>
      </c>
      <c r="V74" s="39" t="n">
        <f aca="false">Q74-R74-S74-T74-U74</f>
        <v>-834433.325244925</v>
      </c>
      <c r="W74" s="39" t="n">
        <f aca="false">DAY(EOMONTH(C74,0))</f>
        <v>31</v>
      </c>
      <c r="X74" s="40" t="n">
        <f aca="false">E74/W74</f>
        <v>236.870967741936</v>
      </c>
      <c r="Y74" s="39" t="n">
        <f aca="false">R74+S74+T74+U74</f>
        <v>1039129</v>
      </c>
    </row>
    <row r="75" customFormat="false" ht="15" hidden="false" customHeight="false" outlineLevel="0" collapsed="false">
      <c r="A75" s="37" t="str">
        <f aca="false">'Assumptions &amp; Data'!A209</f>
        <v>SM0005</v>
      </c>
      <c r="B75" s="37" t="str">
        <f aca="false">'Assumptions &amp; Data'!B209</f>
        <v>DS001</v>
      </c>
      <c r="C75" s="38" t="n">
        <f aca="false">'Assumptions &amp; Data'!C209</f>
        <v>46054</v>
      </c>
      <c r="D75" s="39" t="str">
        <f aca="false">INDEX('Assumptions &amp; Data'!$B$142:$B$201,MATCH(B75,'Assumptions &amp; Data'!$A$142:$A$201,0))</f>
        <v>Delhi NCR</v>
      </c>
      <c r="E75" s="37" t="n">
        <f aca="false">'Assumptions &amp; Data'!D209</f>
        <v>7625</v>
      </c>
      <c r="F75" s="39" t="n">
        <f aca="false">E75*'Assumptions &amp; Data'!E209</f>
        <v>4444612.5</v>
      </c>
      <c r="G75" s="39" t="n">
        <f aca="false">F75*'Assumptions &amp; Data'!F209</f>
        <v>295122.27</v>
      </c>
      <c r="H75" s="39" t="n">
        <f aca="false">F75-G75</f>
        <v>4149490.23</v>
      </c>
      <c r="I75" s="39" t="n">
        <f aca="false">H75*'Assumptions &amp; Data'!G209</f>
        <v>672217.41726</v>
      </c>
      <c r="J75" s="39" t="n">
        <f aca="false">E75*'Assumptions &amp; Data'!H209</f>
        <v>96227.5</v>
      </c>
      <c r="K75" s="39" t="n">
        <f aca="false">H75*'Assumptions &amp; Data'!I209</f>
        <v>86724.345807</v>
      </c>
      <c r="L75" s="39" t="n">
        <f aca="false">H75*'Assumptions &amp; Data'!J209</f>
        <v>158925.475809</v>
      </c>
      <c r="M75" s="39" t="n">
        <f aca="false">I75+J75+K75-L75</f>
        <v>696243.787258</v>
      </c>
      <c r="N75" s="39" t="n">
        <f aca="false">E75*'Assumptions &amp; Data'!N209</f>
        <v>351207.5</v>
      </c>
      <c r="O75" s="39" t="n">
        <f aca="false">E75*'Assumptions &amp; Data'!O209</f>
        <v>75258.75</v>
      </c>
      <c r="P75" s="39" t="n">
        <f aca="false">H75*'Assumptions &amp; Data'!P209</f>
        <v>40665.004254</v>
      </c>
      <c r="Q75" s="39" t="n">
        <f aca="false">M75-N75-O75-P75</f>
        <v>229112.533004</v>
      </c>
      <c r="R75" s="39" t="n">
        <f aca="false">'Assumptions &amp; Data'!L209*'Assumptions &amp; Data'!M209</f>
        <v>337216</v>
      </c>
      <c r="S75" s="37" t="n">
        <f aca="false">'Assumptions &amp; Data'!Q209</f>
        <v>471000</v>
      </c>
      <c r="T75" s="37" t="n">
        <f aca="false">'Assumptions &amp; Data'!R209</f>
        <v>134274</v>
      </c>
      <c r="U75" s="37" t="n">
        <f aca="false">'Assumptions &amp; Data'!S209</f>
        <v>100917</v>
      </c>
      <c r="V75" s="39" t="n">
        <f aca="false">Q75-R75-S75-T75-U75</f>
        <v>-814294.466996</v>
      </c>
      <c r="W75" s="39" t="n">
        <f aca="false">DAY(EOMONTH(C75,0))</f>
        <v>28</v>
      </c>
      <c r="X75" s="40" t="n">
        <f aca="false">E75/W75</f>
        <v>272.321428571429</v>
      </c>
      <c r="Y75" s="39" t="n">
        <f aca="false">R75+S75+T75+U75</f>
        <v>1043407</v>
      </c>
    </row>
    <row r="76" customFormat="false" ht="15" hidden="false" customHeight="false" outlineLevel="0" collapsed="false">
      <c r="A76" s="37" t="str">
        <f aca="false">'Assumptions &amp; Data'!A210</f>
        <v>SM0006</v>
      </c>
      <c r="B76" s="37" t="str">
        <f aca="false">'Assumptions &amp; Data'!B210</f>
        <v>DS001</v>
      </c>
      <c r="C76" s="38" t="n">
        <f aca="false">'Assumptions &amp; Data'!C210</f>
        <v>46082</v>
      </c>
      <c r="D76" s="39" t="str">
        <f aca="false">INDEX('Assumptions &amp; Data'!$B$142:$B$201,MATCH(B76,'Assumptions &amp; Data'!$A$142:$A$201,0))</f>
        <v>Delhi NCR</v>
      </c>
      <c r="E76" s="37" t="n">
        <f aca="false">'Assumptions &amp; Data'!D210</f>
        <v>9557</v>
      </c>
      <c r="F76" s="39" t="n">
        <f aca="false">E76*'Assumptions &amp; Data'!E210</f>
        <v>5616648.9</v>
      </c>
      <c r="G76" s="39" t="n">
        <f aca="false">F76*'Assumptions &amp; Data'!F210</f>
        <v>364520.51361</v>
      </c>
      <c r="H76" s="39" t="n">
        <f aca="false">F76-G76</f>
        <v>5252128.38639</v>
      </c>
      <c r="I76" s="39" t="n">
        <f aca="false">H76*'Assumptions &amp; Data'!G210</f>
        <v>867651.609431628</v>
      </c>
      <c r="J76" s="39" t="n">
        <f aca="false">E76*'Assumptions &amp; Data'!H210</f>
        <v>117455.53</v>
      </c>
      <c r="K76" s="39" t="n">
        <f aca="false">H76*'Assumptions &amp; Data'!I210</f>
        <v>102941.716373244</v>
      </c>
      <c r="L76" s="39" t="n">
        <f aca="false">H76*'Assumptions &amp; Data'!J210</f>
        <v>205883.432746488</v>
      </c>
      <c r="M76" s="39" t="n">
        <f aca="false">I76+J76+K76-L76</f>
        <v>882165.423058384</v>
      </c>
      <c r="N76" s="39" t="n">
        <f aca="false">E76*'Assumptions &amp; Data'!N210</f>
        <v>424808.65</v>
      </c>
      <c r="O76" s="39" t="n">
        <f aca="false">E76*'Assumptions &amp; Data'!O210</f>
        <v>98437.1</v>
      </c>
      <c r="P76" s="39" t="n">
        <f aca="false">H76*'Assumptions &amp; Data'!P210</f>
        <v>49370.006832066</v>
      </c>
      <c r="Q76" s="39" t="n">
        <f aca="false">M76-N76-O76-P76</f>
        <v>309549.666226318</v>
      </c>
      <c r="R76" s="39" t="n">
        <f aca="false">'Assumptions &amp; Data'!L210*'Assumptions &amp; Data'!M210</f>
        <v>337520</v>
      </c>
      <c r="S76" s="37" t="n">
        <f aca="false">'Assumptions &amp; Data'!Q210</f>
        <v>471000</v>
      </c>
      <c r="T76" s="37" t="n">
        <f aca="false">'Assumptions &amp; Data'!R210</f>
        <v>148511</v>
      </c>
      <c r="U76" s="37" t="n">
        <f aca="false">'Assumptions &amp; Data'!S210</f>
        <v>109773</v>
      </c>
      <c r="V76" s="39" t="n">
        <f aca="false">Q76-R76-S76-T76-U76</f>
        <v>-757254.333773682</v>
      </c>
      <c r="W76" s="39" t="n">
        <f aca="false">DAY(EOMONTH(C76,0))</f>
        <v>31</v>
      </c>
      <c r="X76" s="40" t="n">
        <f aca="false">E76/W76</f>
        <v>308.290322580645</v>
      </c>
      <c r="Y76" s="39" t="n">
        <f aca="false">R76+S76+T76+U76</f>
        <v>1066804</v>
      </c>
    </row>
    <row r="77" customFormat="false" ht="15" hidden="false" customHeight="false" outlineLevel="0" collapsed="false">
      <c r="A77" s="37" t="str">
        <f aca="false">'Assumptions &amp; Data'!A211</f>
        <v>SM0007</v>
      </c>
      <c r="B77" s="37" t="str">
        <f aca="false">'Assumptions &amp; Data'!B211</f>
        <v>DS001</v>
      </c>
      <c r="C77" s="38" t="n">
        <f aca="false">'Assumptions &amp; Data'!C211</f>
        <v>46113</v>
      </c>
      <c r="D77" s="39" t="str">
        <f aca="false">INDEX('Assumptions &amp; Data'!$B$142:$B$201,MATCH(B77,'Assumptions &amp; Data'!$A$142:$A$201,0))</f>
        <v>Delhi NCR</v>
      </c>
      <c r="E77" s="37" t="n">
        <f aca="false">'Assumptions &amp; Data'!D211</f>
        <v>11206</v>
      </c>
      <c r="F77" s="39" t="n">
        <f aca="false">E77*'Assumptions &amp; Data'!E211</f>
        <v>6737047.2</v>
      </c>
      <c r="G77" s="39" t="n">
        <f aca="false">F77*'Assumptions &amp; Data'!F211</f>
        <v>431171.0208</v>
      </c>
      <c r="H77" s="39" t="n">
        <f aca="false">F77-G77</f>
        <v>6305876.1792</v>
      </c>
      <c r="I77" s="39" t="n">
        <f aca="false">H77*'Assumptions &amp; Data'!G211</f>
        <v>1029118.99244544</v>
      </c>
      <c r="J77" s="39" t="n">
        <f aca="false">E77*'Assumptions &amp; Data'!H211</f>
        <v>143885.04</v>
      </c>
      <c r="K77" s="39" t="n">
        <f aca="false">H77*'Assumptions &amp; Data'!I211</f>
        <v>136206.92547072</v>
      </c>
      <c r="L77" s="39" t="n">
        <f aca="false">H77*'Assumptions &amp; Data'!J211</f>
        <v>235209.18148416</v>
      </c>
      <c r="M77" s="39" t="n">
        <f aca="false">I77+J77+K77-L77</f>
        <v>1074001.776432</v>
      </c>
      <c r="N77" s="39" t="n">
        <f aca="false">E77*'Assumptions &amp; Data'!N211</f>
        <v>517493.08</v>
      </c>
      <c r="O77" s="39" t="n">
        <f aca="false">E77*'Assumptions &amp; Data'!O211</f>
        <v>116318.28</v>
      </c>
      <c r="P77" s="39" t="n">
        <f aca="false">H77*'Assumptions &amp; Data'!P211</f>
        <v>60536.41132032</v>
      </c>
      <c r="Q77" s="39" t="n">
        <f aca="false">M77-N77-O77-P77</f>
        <v>379654.00511168</v>
      </c>
      <c r="R77" s="39" t="n">
        <f aca="false">'Assumptions &amp; Data'!L211*'Assumptions &amp; Data'!M211</f>
        <v>337840</v>
      </c>
      <c r="S77" s="37" t="n">
        <f aca="false">'Assumptions &amp; Data'!Q211</f>
        <v>471000</v>
      </c>
      <c r="T77" s="37" t="n">
        <f aca="false">'Assumptions &amp; Data'!R211</f>
        <v>139116</v>
      </c>
      <c r="U77" s="37" t="n">
        <f aca="false">'Assumptions &amp; Data'!S211</f>
        <v>128162</v>
      </c>
      <c r="V77" s="39" t="n">
        <f aca="false">Q77-R77-S77-T77-U77</f>
        <v>-696463.99488832</v>
      </c>
      <c r="W77" s="39" t="n">
        <f aca="false">DAY(EOMONTH(C77,0))</f>
        <v>30</v>
      </c>
      <c r="X77" s="40" t="n">
        <f aca="false">E77/W77</f>
        <v>373.533333333333</v>
      </c>
      <c r="Y77" s="39" t="n">
        <f aca="false">R77+S77+T77+U77</f>
        <v>1076118</v>
      </c>
    </row>
    <row r="78" customFormat="false" ht="15" hidden="false" customHeight="false" outlineLevel="0" collapsed="false">
      <c r="A78" s="37" t="str">
        <f aca="false">'Assumptions &amp; Data'!A212</f>
        <v>SM0008</v>
      </c>
      <c r="B78" s="37" t="str">
        <f aca="false">'Assumptions &amp; Data'!B212</f>
        <v>DS001</v>
      </c>
      <c r="C78" s="38" t="n">
        <f aca="false">'Assumptions &amp; Data'!C212</f>
        <v>46143</v>
      </c>
      <c r="D78" s="39" t="str">
        <f aca="false">INDEX('Assumptions &amp; Data'!$B$142:$B$201,MATCH(B78,'Assumptions &amp; Data'!$A$142:$A$201,0))</f>
        <v>Delhi NCR</v>
      </c>
      <c r="E78" s="37" t="n">
        <f aca="false">'Assumptions &amp; Data'!D212</f>
        <v>12559</v>
      </c>
      <c r="F78" s="39" t="n">
        <f aca="false">E78*'Assumptions &amp; Data'!E212</f>
        <v>7402274.6</v>
      </c>
      <c r="G78" s="39" t="n">
        <f aca="false">F78*'Assumptions &amp; Data'!F212</f>
        <v>439695.11124</v>
      </c>
      <c r="H78" s="39" t="n">
        <f aca="false">F78-G78</f>
        <v>6962579.48876</v>
      </c>
      <c r="I78" s="39" t="n">
        <f aca="false">H78*'Assumptions &amp; Data'!G212</f>
        <v>1150218.13154315</v>
      </c>
      <c r="J78" s="39" t="n">
        <f aca="false">E78*'Assumptions &amp; Data'!H212</f>
        <v>156359.55</v>
      </c>
      <c r="K78" s="39" t="n">
        <f aca="false">H78*'Assumptions &amp; Data'!I212</f>
        <v>149695.45900834</v>
      </c>
      <c r="L78" s="39" t="n">
        <f aca="false">H78*'Assumptions &amp; Data'!J212</f>
        <v>249260.345697608</v>
      </c>
      <c r="M78" s="39" t="n">
        <f aca="false">I78+J78+K78-L78</f>
        <v>1207012.79485388</v>
      </c>
      <c r="N78" s="39" t="n">
        <f aca="false">E78*'Assumptions &amp; Data'!N212</f>
        <v>566285.31</v>
      </c>
      <c r="O78" s="39" t="n">
        <f aca="false">E78*'Assumptions &amp; Data'!O212</f>
        <v>132246.27</v>
      </c>
      <c r="P78" s="39" t="n">
        <f aca="false">H78*'Assumptions &amp; Data'!P212</f>
        <v>73803.342580856</v>
      </c>
      <c r="Q78" s="39" t="n">
        <f aca="false">M78-N78-O78-P78</f>
        <v>434677.872273028</v>
      </c>
      <c r="R78" s="39" t="n">
        <f aca="false">'Assumptions &amp; Data'!L212*'Assumptions &amp; Data'!M212</f>
        <v>338144</v>
      </c>
      <c r="S78" s="37" t="n">
        <f aca="false">'Assumptions &amp; Data'!Q212</f>
        <v>471000</v>
      </c>
      <c r="T78" s="37" t="n">
        <f aca="false">'Assumptions &amp; Data'!R212</f>
        <v>136294</v>
      </c>
      <c r="U78" s="37" t="n">
        <f aca="false">'Assumptions &amp; Data'!S212</f>
        <v>121803</v>
      </c>
      <c r="V78" s="39" t="n">
        <f aca="false">Q78-R78-S78-T78-U78</f>
        <v>-632563.127726972</v>
      </c>
      <c r="W78" s="39" t="n">
        <f aca="false">DAY(EOMONTH(C78,0))</f>
        <v>31</v>
      </c>
      <c r="X78" s="40" t="n">
        <f aca="false">E78/W78</f>
        <v>405.129032258065</v>
      </c>
      <c r="Y78" s="39" t="n">
        <f aca="false">R78+S78+T78+U78</f>
        <v>1067241</v>
      </c>
    </row>
    <row r="79" customFormat="false" ht="15" hidden="false" customHeight="false" outlineLevel="0" collapsed="false">
      <c r="A79" s="37" t="str">
        <f aca="false">'Assumptions &amp; Data'!A213</f>
        <v>SM0009</v>
      </c>
      <c r="B79" s="37" t="str">
        <f aca="false">'Assumptions &amp; Data'!B213</f>
        <v>DS001</v>
      </c>
      <c r="C79" s="38" t="n">
        <f aca="false">'Assumptions &amp; Data'!C213</f>
        <v>46174</v>
      </c>
      <c r="D79" s="39" t="str">
        <f aca="false">INDEX('Assumptions &amp; Data'!$B$142:$B$201,MATCH(B79,'Assumptions &amp; Data'!$A$142:$A$201,0))</f>
        <v>Delhi NCR</v>
      </c>
      <c r="E79" s="37" t="n">
        <f aca="false">'Assumptions &amp; Data'!D213</f>
        <v>13044</v>
      </c>
      <c r="F79" s="39" t="n">
        <f aca="false">E79*'Assumptions &amp; Data'!E213</f>
        <v>7771615.2</v>
      </c>
      <c r="G79" s="39" t="n">
        <f aca="false">F79*'Assumptions &amp; Data'!F213</f>
        <v>453085.16616</v>
      </c>
      <c r="H79" s="39" t="n">
        <f aca="false">F79-G79</f>
        <v>7318530.03384</v>
      </c>
      <c r="I79" s="39" t="n">
        <f aca="false">H79*'Assumptions &amp; Data'!G213</f>
        <v>1173892.21742794</v>
      </c>
      <c r="J79" s="39" t="n">
        <f aca="false">E79*'Assumptions &amp; Data'!H213</f>
        <v>160571.64</v>
      </c>
      <c r="K79" s="39" t="n">
        <f aca="false">H79*'Assumptions &amp; Data'!I213</f>
        <v>170521.749788472</v>
      </c>
      <c r="L79" s="39" t="n">
        <f aca="false">H79*'Assumptions &amp; Data'!J213</f>
        <v>264198.934221624</v>
      </c>
      <c r="M79" s="39" t="n">
        <f aca="false">I79+J79+K79-L79</f>
        <v>1240786.67299478</v>
      </c>
      <c r="N79" s="39" t="n">
        <f aca="false">E79*'Assumptions &amp; Data'!N213</f>
        <v>585414.72</v>
      </c>
      <c r="O79" s="39" t="n">
        <f aca="false">E79*'Assumptions &amp; Data'!O213</f>
        <v>137092.44</v>
      </c>
      <c r="P79" s="39" t="n">
        <f aca="false">H79*'Assumptions &amp; Data'!P213</f>
        <v>72453.447335016</v>
      </c>
      <c r="Q79" s="39" t="n">
        <f aca="false">M79-N79-O79-P79</f>
        <v>445826.065659768</v>
      </c>
      <c r="R79" s="39" t="n">
        <f aca="false">'Assumptions &amp; Data'!L213*'Assumptions &amp; Data'!M213</f>
        <v>338448</v>
      </c>
      <c r="S79" s="37" t="n">
        <f aca="false">'Assumptions &amp; Data'!Q213</f>
        <v>471000</v>
      </c>
      <c r="T79" s="37" t="n">
        <f aca="false">'Assumptions &amp; Data'!R213</f>
        <v>133990</v>
      </c>
      <c r="U79" s="37" t="n">
        <f aca="false">'Assumptions &amp; Data'!S213</f>
        <v>124190</v>
      </c>
      <c r="V79" s="39" t="n">
        <f aca="false">Q79-R79-S79-T79-U79</f>
        <v>-621801.934340232</v>
      </c>
      <c r="W79" s="39" t="n">
        <f aca="false">DAY(EOMONTH(C79,0))</f>
        <v>30</v>
      </c>
      <c r="X79" s="40" t="n">
        <f aca="false">E79/W79</f>
        <v>434.8</v>
      </c>
      <c r="Y79" s="39" t="n">
        <f aca="false">R79+S79+T79+U79</f>
        <v>1067628</v>
      </c>
    </row>
    <row r="80" customFormat="false" ht="15" hidden="false" customHeight="false" outlineLevel="0" collapsed="false">
      <c r="A80" s="37" t="str">
        <f aca="false">'Assumptions &amp; Data'!A214</f>
        <v>SM0010</v>
      </c>
      <c r="B80" s="37" t="str">
        <f aca="false">'Assumptions &amp; Data'!B214</f>
        <v>DS001</v>
      </c>
      <c r="C80" s="38" t="n">
        <f aca="false">'Assumptions &amp; Data'!C214</f>
        <v>46204</v>
      </c>
      <c r="D80" s="39" t="str">
        <f aca="false">INDEX('Assumptions &amp; Data'!$B$142:$B$201,MATCH(B80,'Assumptions &amp; Data'!$A$142:$A$201,0))</f>
        <v>Delhi NCR</v>
      </c>
      <c r="E80" s="37" t="n">
        <f aca="false">'Assumptions &amp; Data'!D214</f>
        <v>13876</v>
      </c>
      <c r="F80" s="39" t="n">
        <f aca="false">E80*'Assumptions &amp; Data'!E214</f>
        <v>8116072.4</v>
      </c>
      <c r="G80" s="39" t="n">
        <f aca="false">F80*'Assumptions &amp; Data'!F214</f>
        <v>463427.73404</v>
      </c>
      <c r="H80" s="39" t="n">
        <f aca="false">F80-G80</f>
        <v>7652644.66596</v>
      </c>
      <c r="I80" s="39" t="n">
        <f aca="false">H80*'Assumptions &amp; Data'!G214</f>
        <v>1230545.26228637</v>
      </c>
      <c r="J80" s="39" t="n">
        <f aca="false">E80*'Assumptions &amp; Data'!H214</f>
        <v>176086.44</v>
      </c>
      <c r="K80" s="39" t="n">
        <f aca="false">H80*'Assumptions &amp; Data'!I214</f>
        <v>158409.744585372</v>
      </c>
      <c r="L80" s="39" t="n">
        <f aca="false">H80*'Assumptions &amp; Data'!J214</f>
        <v>259424.654176044</v>
      </c>
      <c r="M80" s="39" t="n">
        <f aca="false">I80+J80+K80-L80</f>
        <v>1305616.7926957</v>
      </c>
      <c r="N80" s="39" t="n">
        <f aca="false">E80*'Assumptions &amp; Data'!N214</f>
        <v>618037.04</v>
      </c>
      <c r="O80" s="39" t="n">
        <f aca="false">E80*'Assumptions &amp; Data'!O214</f>
        <v>138760</v>
      </c>
      <c r="P80" s="39" t="n">
        <f aca="false">H80*'Assumptions &amp; Data'!P214</f>
        <v>77291.711126196</v>
      </c>
      <c r="Q80" s="39" t="n">
        <f aca="false">M80-N80-O80-P80</f>
        <v>471528.0415695</v>
      </c>
      <c r="R80" s="39" t="n">
        <f aca="false">'Assumptions &amp; Data'!L214*'Assumptions &amp; Data'!M214</f>
        <v>338752</v>
      </c>
      <c r="S80" s="37" t="n">
        <f aca="false">'Assumptions &amp; Data'!Q214</f>
        <v>471000</v>
      </c>
      <c r="T80" s="37" t="n">
        <f aca="false">'Assumptions &amp; Data'!R214</f>
        <v>139496</v>
      </c>
      <c r="U80" s="37" t="n">
        <f aca="false">'Assumptions &amp; Data'!S214</f>
        <v>115223</v>
      </c>
      <c r="V80" s="39" t="n">
        <f aca="false">Q80-R80-S80-T80-U80</f>
        <v>-592942.9584305</v>
      </c>
      <c r="W80" s="39" t="n">
        <f aca="false">DAY(EOMONTH(C80,0))</f>
        <v>31</v>
      </c>
      <c r="X80" s="40" t="n">
        <f aca="false">E80/W80</f>
        <v>447.612903225806</v>
      </c>
      <c r="Y80" s="39" t="n">
        <f aca="false">R80+S80+T80+U80</f>
        <v>1064471</v>
      </c>
    </row>
    <row r="81" customFormat="false" ht="15" hidden="false" customHeight="false" outlineLevel="0" collapsed="false">
      <c r="A81" s="37" t="str">
        <f aca="false">'Assumptions &amp; Data'!A215</f>
        <v>SM0011</v>
      </c>
      <c r="B81" s="37" t="str">
        <f aca="false">'Assumptions &amp; Data'!B215</f>
        <v>DS001</v>
      </c>
      <c r="C81" s="38" t="n">
        <f aca="false">'Assumptions &amp; Data'!C215</f>
        <v>46235</v>
      </c>
      <c r="D81" s="39" t="str">
        <f aca="false">INDEX('Assumptions &amp; Data'!$B$142:$B$201,MATCH(B81,'Assumptions &amp; Data'!$A$142:$A$201,0))</f>
        <v>Delhi NCR</v>
      </c>
      <c r="E81" s="37" t="n">
        <f aca="false">'Assumptions &amp; Data'!D215</f>
        <v>14889</v>
      </c>
      <c r="F81" s="39" t="n">
        <f aca="false">E81*'Assumptions &amp; Data'!E215</f>
        <v>8788976.7</v>
      </c>
      <c r="G81" s="39" t="n">
        <f aca="false">F81*'Assumptions &amp; Data'!F215</f>
        <v>526459.70433</v>
      </c>
      <c r="H81" s="39" t="n">
        <f aca="false">F81-G81</f>
        <v>8262516.99567</v>
      </c>
      <c r="I81" s="39" t="n">
        <f aca="false">H81*'Assumptions &amp; Data'!G215</f>
        <v>1316218.95741023</v>
      </c>
      <c r="J81" s="39" t="n">
        <f aca="false">E81*'Assumptions &amp; Data'!H215</f>
        <v>197428.14</v>
      </c>
      <c r="K81" s="39" t="n">
        <f aca="false">H81*'Assumptions &amp; Data'!I215</f>
        <v>162771.584814699</v>
      </c>
      <c r="L81" s="39" t="n">
        <f aca="false">H81*'Assumptions &amp; Data'!J215</f>
        <v>286709.339749749</v>
      </c>
      <c r="M81" s="39" t="n">
        <f aca="false">I81+J81+K81-L81</f>
        <v>1389709.34247518</v>
      </c>
      <c r="N81" s="39" t="n">
        <f aca="false">E81*'Assumptions &amp; Data'!N215</f>
        <v>661518.27</v>
      </c>
      <c r="O81" s="39" t="n">
        <f aca="false">E81*'Assumptions &amp; Data'!O215</f>
        <v>154994.49</v>
      </c>
      <c r="P81" s="39" t="n">
        <f aca="false">H81*'Assumptions &amp; Data'!P215</f>
        <v>82625.1699567</v>
      </c>
      <c r="Q81" s="39" t="n">
        <f aca="false">M81-N81-O81-P81</f>
        <v>490571.412518481</v>
      </c>
      <c r="R81" s="39" t="n">
        <f aca="false">'Assumptions &amp; Data'!L215*'Assumptions &amp; Data'!M215</f>
        <v>339056</v>
      </c>
      <c r="S81" s="37" t="n">
        <f aca="false">'Assumptions &amp; Data'!Q215</f>
        <v>471000</v>
      </c>
      <c r="T81" s="37" t="n">
        <f aca="false">'Assumptions &amp; Data'!R215</f>
        <v>129686</v>
      </c>
      <c r="U81" s="37" t="n">
        <f aca="false">'Assumptions &amp; Data'!S215</f>
        <v>113016</v>
      </c>
      <c r="V81" s="39" t="n">
        <f aca="false">Q81-R81-S81-T81-U81</f>
        <v>-562186.587481519</v>
      </c>
      <c r="W81" s="39" t="n">
        <f aca="false">DAY(EOMONTH(C81,0))</f>
        <v>31</v>
      </c>
      <c r="X81" s="40" t="n">
        <f aca="false">E81/W81</f>
        <v>480.290322580645</v>
      </c>
      <c r="Y81" s="39" t="n">
        <f aca="false">R81+S81+T81+U81</f>
        <v>1052758</v>
      </c>
    </row>
    <row r="82" customFormat="false" ht="15" hidden="false" customHeight="false" outlineLevel="0" collapsed="false">
      <c r="A82" s="37" t="str">
        <f aca="false">'Assumptions &amp; Data'!A216</f>
        <v>SM0012</v>
      </c>
      <c r="B82" s="37" t="str">
        <f aca="false">'Assumptions &amp; Data'!B216</f>
        <v>DS001</v>
      </c>
      <c r="C82" s="38" t="n">
        <f aca="false">'Assumptions &amp; Data'!C216</f>
        <v>46266</v>
      </c>
      <c r="D82" s="39" t="str">
        <f aca="false">INDEX('Assumptions &amp; Data'!$B$142:$B$201,MATCH(B82,'Assumptions &amp; Data'!$A$142:$A$201,0))</f>
        <v>Delhi NCR</v>
      </c>
      <c r="E82" s="37" t="n">
        <f aca="false">'Assumptions &amp; Data'!D216</f>
        <v>14661</v>
      </c>
      <c r="F82" s="39" t="n">
        <f aca="false">E82*'Assumptions &amp; Data'!E216</f>
        <v>8581083.3</v>
      </c>
      <c r="G82" s="39" t="n">
        <f aca="false">F82*'Assumptions &amp; Data'!F216</f>
        <v>491696.07309</v>
      </c>
      <c r="H82" s="39" t="n">
        <f aca="false">F82-G82</f>
        <v>8089387.22691</v>
      </c>
      <c r="I82" s="39" t="n">
        <f aca="false">H82*'Assumptions &amp; Data'!G216</f>
        <v>1312098.6082048</v>
      </c>
      <c r="J82" s="39" t="n">
        <f aca="false">E82*'Assumptions &amp; Data'!H216</f>
        <v>175345.56</v>
      </c>
      <c r="K82" s="39" t="n">
        <f aca="false">H82*'Assumptions &amp; Data'!I216</f>
        <v>180393.335160093</v>
      </c>
      <c r="L82" s="39" t="n">
        <f aca="false">H82*'Assumptions &amp; Data'!J216</f>
        <v>285555.369109923</v>
      </c>
      <c r="M82" s="39" t="n">
        <f aca="false">I82+J82+K82-L82</f>
        <v>1382282.13425497</v>
      </c>
      <c r="N82" s="39" t="n">
        <f aca="false">E82*'Assumptions &amp; Data'!N216</f>
        <v>650068.74</v>
      </c>
      <c r="O82" s="39" t="n">
        <f aca="false">E82*'Assumptions &amp; Data'!O216</f>
        <v>149248.98</v>
      </c>
      <c r="P82" s="39" t="n">
        <f aca="false">H82*'Assumptions &amp; Data'!P216</f>
        <v>80893.8722691</v>
      </c>
      <c r="Q82" s="39" t="n">
        <f aca="false">M82-N82-O82-P82</f>
        <v>502070.541985872</v>
      </c>
      <c r="R82" s="39" t="n">
        <f aca="false">'Assumptions &amp; Data'!L216*'Assumptions &amp; Data'!M216</f>
        <v>339360</v>
      </c>
      <c r="S82" s="37" t="n">
        <f aca="false">'Assumptions &amp; Data'!Q216</f>
        <v>471000</v>
      </c>
      <c r="T82" s="37" t="n">
        <f aca="false">'Assumptions &amp; Data'!R216</f>
        <v>139397</v>
      </c>
      <c r="U82" s="37" t="n">
        <f aca="false">'Assumptions &amp; Data'!S216</f>
        <v>100942</v>
      </c>
      <c r="V82" s="39" t="n">
        <f aca="false">Q82-R82-S82-T82-U82</f>
        <v>-548628.458014128</v>
      </c>
      <c r="W82" s="39" t="n">
        <f aca="false">DAY(EOMONTH(C82,0))</f>
        <v>30</v>
      </c>
      <c r="X82" s="40" t="n">
        <f aca="false">E82/W82</f>
        <v>488.7</v>
      </c>
      <c r="Y82" s="39" t="n">
        <f aca="false">R82+S82+T82+U82</f>
        <v>1050699</v>
      </c>
    </row>
    <row r="83" customFormat="false" ht="15" hidden="false" customHeight="false" outlineLevel="0" collapsed="false">
      <c r="A83" s="37" t="str">
        <f aca="false">'Assumptions &amp; Data'!A217</f>
        <v>SM0013</v>
      </c>
      <c r="B83" s="37" t="str">
        <f aca="false">'Assumptions &amp; Data'!B217</f>
        <v>DS002</v>
      </c>
      <c r="C83" s="38" t="n">
        <f aca="false">'Assumptions &amp; Data'!C217</f>
        <v>45931</v>
      </c>
      <c r="D83" s="39" t="str">
        <f aca="false">INDEX('Assumptions &amp; Data'!$B$142:$B$201,MATCH(B83,'Assumptions &amp; Data'!$A$142:$A$201,0))</f>
        <v>Delhi NCR</v>
      </c>
      <c r="E83" s="37" t="n">
        <f aca="false">'Assumptions &amp; Data'!D217</f>
        <v>19997</v>
      </c>
      <c r="F83" s="39" t="n">
        <f aca="false">E83*'Assumptions &amp; Data'!E217</f>
        <v>13128030.5</v>
      </c>
      <c r="G83" s="39" t="n">
        <f aca="false">F83*'Assumptions &amp; Data'!F217</f>
        <v>985915.09055</v>
      </c>
      <c r="H83" s="39" t="n">
        <f aca="false">F83-G83</f>
        <v>12142115.40945</v>
      </c>
      <c r="I83" s="39" t="n">
        <f aca="false">H83*'Assumptions &amp; Data'!G217</f>
        <v>2039875.3887876</v>
      </c>
      <c r="J83" s="39" t="n">
        <f aca="false">E83*'Assumptions &amp; Data'!H217</f>
        <v>246762.98</v>
      </c>
      <c r="K83" s="39" t="n">
        <f aca="false">H83*'Assumptions &amp; Data'!I217</f>
        <v>292624.981367745</v>
      </c>
      <c r="L83" s="39" t="n">
        <f aca="false">H83*'Assumptions &amp; Data'!J217</f>
        <v>265912.327466955</v>
      </c>
      <c r="M83" s="39" t="n">
        <f aca="false">I83+J83+K83-L83</f>
        <v>2313351.02268839</v>
      </c>
      <c r="N83" s="39" t="n">
        <f aca="false">E83*'Assumptions &amp; Data'!N217</f>
        <v>770884.35</v>
      </c>
      <c r="O83" s="39" t="n">
        <f aca="false">E83*'Assumptions &amp; Data'!O217</f>
        <v>211968.2</v>
      </c>
      <c r="P83" s="39" t="n">
        <f aca="false">H83*'Assumptions &amp; Data'!P217</f>
        <v>123849.57717639</v>
      </c>
      <c r="Q83" s="39" t="n">
        <f aca="false">M83-N83-O83-P83</f>
        <v>1206648.895512</v>
      </c>
      <c r="R83" s="39" t="n">
        <f aca="false">'Assumptions &amp; Data'!L217*'Assumptions &amp; Data'!M217</f>
        <v>336000</v>
      </c>
      <c r="S83" s="37" t="n">
        <f aca="false">'Assumptions &amp; Data'!Q217</f>
        <v>258000</v>
      </c>
      <c r="T83" s="37" t="n">
        <f aca="false">'Assumptions &amp; Data'!R217</f>
        <v>135018</v>
      </c>
      <c r="U83" s="37" t="n">
        <f aca="false">'Assumptions &amp; Data'!S217</f>
        <v>85374</v>
      </c>
      <c r="V83" s="39" t="n">
        <f aca="false">Q83-R83-S83-T83-U83</f>
        <v>392256.895512</v>
      </c>
      <c r="W83" s="39" t="n">
        <f aca="false">DAY(EOMONTH(C83,0))</f>
        <v>31</v>
      </c>
      <c r="X83" s="40" t="n">
        <f aca="false">E83/W83</f>
        <v>645.064516129032</v>
      </c>
      <c r="Y83" s="39" t="n">
        <f aca="false">R83+S83+T83+U83</f>
        <v>814392</v>
      </c>
    </row>
    <row r="84" customFormat="false" ht="15" hidden="false" customHeight="false" outlineLevel="0" collapsed="false">
      <c r="A84" s="37" t="str">
        <f aca="false">'Assumptions &amp; Data'!A218</f>
        <v>SM0014</v>
      </c>
      <c r="B84" s="37" t="str">
        <f aca="false">'Assumptions &amp; Data'!B218</f>
        <v>DS002</v>
      </c>
      <c r="C84" s="38" t="n">
        <f aca="false">'Assumptions &amp; Data'!C218</f>
        <v>45962</v>
      </c>
      <c r="D84" s="39" t="str">
        <f aca="false">INDEX('Assumptions &amp; Data'!$B$142:$B$201,MATCH(B84,'Assumptions &amp; Data'!$A$142:$A$201,0))</f>
        <v>Delhi NCR</v>
      </c>
      <c r="E84" s="37" t="n">
        <f aca="false">'Assumptions &amp; Data'!D218</f>
        <v>19286</v>
      </c>
      <c r="F84" s="39" t="n">
        <f aca="false">E84*'Assumptions &amp; Data'!E218</f>
        <v>12302539.4</v>
      </c>
      <c r="G84" s="39" t="n">
        <f aca="false">F84*'Assumptions &amp; Data'!F218</f>
        <v>898085.3762</v>
      </c>
      <c r="H84" s="39" t="n">
        <f aca="false">F84-G84</f>
        <v>11404454.0238</v>
      </c>
      <c r="I84" s="39" t="n">
        <f aca="false">H84*'Assumptions &amp; Data'!G218</f>
        <v>1935335.84783886</v>
      </c>
      <c r="J84" s="39" t="n">
        <f aca="false">E84*'Assumptions &amp; Data'!H218</f>
        <v>231817.72</v>
      </c>
      <c r="K84" s="39" t="n">
        <f aca="false">H84*'Assumptions &amp; Data'!I218</f>
        <v>286251.79599738</v>
      </c>
      <c r="L84" s="39" t="n">
        <f aca="false">H84*'Assumptions &amp; Data'!J218</f>
        <v>257740.66093788</v>
      </c>
      <c r="M84" s="39" t="n">
        <f aca="false">I84+J84+K84-L84</f>
        <v>2195664.70289836</v>
      </c>
      <c r="N84" s="39" t="n">
        <f aca="false">E84*'Assumptions &amp; Data'!N218</f>
        <v>744439.6</v>
      </c>
      <c r="O84" s="39" t="n">
        <f aca="false">E84*'Assumptions &amp; Data'!O218</f>
        <v>203660.16</v>
      </c>
      <c r="P84" s="39" t="n">
        <f aca="false">H84*'Assumptions &amp; Data'!P218</f>
        <v>111763.64943324</v>
      </c>
      <c r="Q84" s="39" t="n">
        <f aca="false">M84-N84-O84-P84</f>
        <v>1135801.29346512</v>
      </c>
      <c r="R84" s="39" t="n">
        <f aca="false">'Assumptions &amp; Data'!L218*'Assumptions &amp; Data'!M218</f>
        <v>336304</v>
      </c>
      <c r="S84" s="37" t="n">
        <f aca="false">'Assumptions &amp; Data'!Q218</f>
        <v>258000</v>
      </c>
      <c r="T84" s="37" t="n">
        <f aca="false">'Assumptions &amp; Data'!R218</f>
        <v>142973</v>
      </c>
      <c r="U84" s="37" t="n">
        <f aca="false">'Assumptions &amp; Data'!S218</f>
        <v>88934</v>
      </c>
      <c r="V84" s="39" t="n">
        <f aca="false">Q84-R84-S84-T84-U84</f>
        <v>309590.29346512</v>
      </c>
      <c r="W84" s="39" t="n">
        <f aca="false">DAY(EOMONTH(C84,0))</f>
        <v>30</v>
      </c>
      <c r="X84" s="40" t="n">
        <f aca="false">E84/W84</f>
        <v>642.866666666667</v>
      </c>
      <c r="Y84" s="39" t="n">
        <f aca="false">R84+S84+T84+U84</f>
        <v>826211</v>
      </c>
    </row>
    <row r="85" customFormat="false" ht="15" hidden="false" customHeight="false" outlineLevel="0" collapsed="false">
      <c r="A85" s="37" t="str">
        <f aca="false">'Assumptions &amp; Data'!A219</f>
        <v>SM0015</v>
      </c>
      <c r="B85" s="37" t="str">
        <f aca="false">'Assumptions &amp; Data'!B219</f>
        <v>DS002</v>
      </c>
      <c r="C85" s="38" t="n">
        <f aca="false">'Assumptions &amp; Data'!C219</f>
        <v>45992</v>
      </c>
      <c r="D85" s="39" t="str">
        <f aca="false">INDEX('Assumptions &amp; Data'!$B$142:$B$201,MATCH(B85,'Assumptions &amp; Data'!$A$142:$A$201,0))</f>
        <v>Delhi NCR</v>
      </c>
      <c r="E85" s="37" t="n">
        <f aca="false">'Assumptions &amp; Data'!D219</f>
        <v>20564</v>
      </c>
      <c r="F85" s="39" t="n">
        <f aca="false">E85*'Assumptions &amp; Data'!E219</f>
        <v>12982053.2</v>
      </c>
      <c r="G85" s="39" t="n">
        <f aca="false">F85*'Assumptions &amp; Data'!F219</f>
        <v>989232.45384</v>
      </c>
      <c r="H85" s="39" t="n">
        <f aca="false">F85-G85</f>
        <v>11992820.74616</v>
      </c>
      <c r="I85" s="39" t="n">
        <f aca="false">H85*'Assumptions &amp; Data'!G219</f>
        <v>2006398.91083257</v>
      </c>
      <c r="J85" s="39" t="n">
        <f aca="false">E85*'Assumptions &amp; Data'!H219</f>
        <v>242243.92</v>
      </c>
      <c r="K85" s="39" t="n">
        <f aca="false">H85*'Assumptions &amp; Data'!I219</f>
        <v>297421.954504768</v>
      </c>
      <c r="L85" s="39" t="n">
        <f aca="false">H85*'Assumptions &amp; Data'!J219</f>
        <v>259044.928117056</v>
      </c>
      <c r="M85" s="39" t="n">
        <f aca="false">I85+J85+K85-L85</f>
        <v>2287019.85722028</v>
      </c>
      <c r="N85" s="39" t="n">
        <f aca="false">E85*'Assumptions &amp; Data'!N219</f>
        <v>779169.96</v>
      </c>
      <c r="O85" s="39" t="n">
        <f aca="false">E85*'Assumptions &amp; Data'!O219</f>
        <v>212220.48</v>
      </c>
      <c r="P85" s="39" t="n">
        <f aca="false">H85*'Assumptions &amp; Data'!P219</f>
        <v>122326.771610832</v>
      </c>
      <c r="Q85" s="39" t="n">
        <f aca="false">M85-N85-O85-P85</f>
        <v>1173302.64560945</v>
      </c>
      <c r="R85" s="39" t="n">
        <f aca="false">'Assumptions &amp; Data'!L219*'Assumptions &amp; Data'!M219</f>
        <v>336608</v>
      </c>
      <c r="S85" s="37" t="n">
        <f aca="false">'Assumptions &amp; Data'!Q219</f>
        <v>258000</v>
      </c>
      <c r="T85" s="37" t="n">
        <f aca="false">'Assumptions &amp; Data'!R219</f>
        <v>131240</v>
      </c>
      <c r="U85" s="37" t="n">
        <f aca="false">'Assumptions &amp; Data'!S219</f>
        <v>88629</v>
      </c>
      <c r="V85" s="39" t="n">
        <f aca="false">Q85-R85-S85-T85-U85</f>
        <v>358825.645609448</v>
      </c>
      <c r="W85" s="39" t="n">
        <f aca="false">DAY(EOMONTH(C85,0))</f>
        <v>31</v>
      </c>
      <c r="X85" s="40" t="n">
        <f aca="false">E85/W85</f>
        <v>663.354838709677</v>
      </c>
      <c r="Y85" s="39" t="n">
        <f aca="false">R85+S85+T85+U85</f>
        <v>814477</v>
      </c>
    </row>
    <row r="86" customFormat="false" ht="15" hidden="false" customHeight="false" outlineLevel="0" collapsed="false">
      <c r="A86" s="37" t="str">
        <f aca="false">'Assumptions &amp; Data'!A220</f>
        <v>SM0016</v>
      </c>
      <c r="B86" s="37" t="str">
        <f aca="false">'Assumptions &amp; Data'!B220</f>
        <v>DS002</v>
      </c>
      <c r="C86" s="38" t="n">
        <f aca="false">'Assumptions &amp; Data'!C220</f>
        <v>46023</v>
      </c>
      <c r="D86" s="39" t="str">
        <f aca="false">INDEX('Assumptions &amp; Data'!$B$142:$B$201,MATCH(B86,'Assumptions &amp; Data'!$A$142:$A$201,0))</f>
        <v>Delhi NCR</v>
      </c>
      <c r="E86" s="37" t="n">
        <f aca="false">'Assumptions &amp; Data'!D220</f>
        <v>19102</v>
      </c>
      <c r="F86" s="39" t="n">
        <f aca="false">E86*'Assumptions &amp; Data'!E220</f>
        <v>12124039.4</v>
      </c>
      <c r="G86" s="39" t="n">
        <f aca="false">F86*'Assumptions &amp; Data'!F220</f>
        <v>908090.55106</v>
      </c>
      <c r="H86" s="39" t="n">
        <f aca="false">F86-G86</f>
        <v>11215948.84894</v>
      </c>
      <c r="I86" s="39" t="n">
        <f aca="false">H86*'Assumptions &amp; Data'!G220</f>
        <v>1879793.02708234</v>
      </c>
      <c r="J86" s="39" t="n">
        <f aca="false">E86*'Assumptions &amp; Data'!H220</f>
        <v>240303.16</v>
      </c>
      <c r="K86" s="39" t="n">
        <f aca="false">H86*'Assumptions &amp; Data'!I220</f>
        <v>272547.557029242</v>
      </c>
      <c r="L86" s="39" t="n">
        <f aca="false">H86*'Assumptions &amp; Data'!J220</f>
        <v>250115.659331362</v>
      </c>
      <c r="M86" s="39" t="n">
        <f aca="false">I86+J86+K86-L86</f>
        <v>2142528.08478022</v>
      </c>
      <c r="N86" s="39" t="n">
        <f aca="false">E86*'Assumptions &amp; Data'!N220</f>
        <v>748416.36</v>
      </c>
      <c r="O86" s="39" t="n">
        <f aca="false">E86*'Assumptions &amp; Data'!O220</f>
        <v>198660.8</v>
      </c>
      <c r="P86" s="39" t="n">
        <f aca="false">H86*'Assumptions &amp; Data'!P220</f>
        <v>114402.678259188</v>
      </c>
      <c r="Q86" s="39" t="n">
        <f aca="false">M86-N86-O86-P86</f>
        <v>1081048.24652104</v>
      </c>
      <c r="R86" s="39" t="n">
        <f aca="false">'Assumptions &amp; Data'!L220*'Assumptions &amp; Data'!M220</f>
        <v>336912</v>
      </c>
      <c r="S86" s="37" t="n">
        <f aca="false">'Assumptions &amp; Data'!Q220</f>
        <v>258000</v>
      </c>
      <c r="T86" s="37" t="n">
        <f aca="false">'Assumptions &amp; Data'!R220</f>
        <v>133964</v>
      </c>
      <c r="U86" s="37" t="n">
        <f aca="false">'Assumptions &amp; Data'!S220</f>
        <v>84861</v>
      </c>
      <c r="V86" s="39" t="n">
        <f aca="false">Q86-R86-S86-T86-U86</f>
        <v>267311.246521037</v>
      </c>
      <c r="W86" s="39" t="n">
        <f aca="false">DAY(EOMONTH(C86,0))</f>
        <v>31</v>
      </c>
      <c r="X86" s="40" t="n">
        <f aca="false">E86/W86</f>
        <v>616.193548387097</v>
      </c>
      <c r="Y86" s="39" t="n">
        <f aca="false">R86+S86+T86+U86</f>
        <v>813737</v>
      </c>
    </row>
    <row r="87" customFormat="false" ht="15" hidden="false" customHeight="false" outlineLevel="0" collapsed="false">
      <c r="A87" s="37" t="str">
        <f aca="false">'Assumptions &amp; Data'!A221</f>
        <v>SM0017</v>
      </c>
      <c r="B87" s="37" t="str">
        <f aca="false">'Assumptions &amp; Data'!B221</f>
        <v>DS002</v>
      </c>
      <c r="C87" s="38" t="n">
        <f aca="false">'Assumptions &amp; Data'!C221</f>
        <v>46054</v>
      </c>
      <c r="D87" s="39" t="str">
        <f aca="false">INDEX('Assumptions &amp; Data'!$B$142:$B$201,MATCH(B87,'Assumptions &amp; Data'!$A$142:$A$201,0))</f>
        <v>Delhi NCR</v>
      </c>
      <c r="E87" s="37" t="n">
        <f aca="false">'Assumptions &amp; Data'!D221</f>
        <v>20088</v>
      </c>
      <c r="F87" s="39" t="n">
        <f aca="false">E87*'Assumptions &amp; Data'!E221</f>
        <v>12784003.2</v>
      </c>
      <c r="G87" s="39" t="n">
        <f aca="false">F87*'Assumptions &amp; Data'!F221</f>
        <v>1013771.45376</v>
      </c>
      <c r="H87" s="39" t="n">
        <f aca="false">F87-G87</f>
        <v>11770231.74624</v>
      </c>
      <c r="I87" s="39" t="n">
        <f aca="false">H87*'Assumptions &amp; Data'!G221</f>
        <v>1979752.97971757</v>
      </c>
      <c r="J87" s="39" t="n">
        <f aca="false">E87*'Assumptions &amp; Data'!H221</f>
        <v>237239.28</v>
      </c>
      <c r="K87" s="39" t="n">
        <f aca="false">H87*'Assumptions &amp; Data'!I221</f>
        <v>309557.094926112</v>
      </c>
      <c r="L87" s="39" t="n">
        <f aca="false">H87*'Assumptions &amp; Data'!J221</f>
        <v>255414.028893408</v>
      </c>
      <c r="M87" s="39" t="n">
        <f aca="false">I87+J87+K87-L87</f>
        <v>2271135.32575027</v>
      </c>
      <c r="N87" s="39" t="n">
        <f aca="false">E87*'Assumptions &amp; Data'!N221</f>
        <v>767160.72</v>
      </c>
      <c r="O87" s="39" t="n">
        <f aca="false">E87*'Assumptions &amp; Data'!O221</f>
        <v>205701.12</v>
      </c>
      <c r="P87" s="39" t="n">
        <f aca="false">H87*'Assumptions &amp; Data'!P221</f>
        <v>121233.386986272</v>
      </c>
      <c r="Q87" s="39" t="n">
        <f aca="false">M87-N87-O87-P87</f>
        <v>1177040.098764</v>
      </c>
      <c r="R87" s="39" t="n">
        <f aca="false">'Assumptions &amp; Data'!L221*'Assumptions &amp; Data'!M221</f>
        <v>337216</v>
      </c>
      <c r="S87" s="37" t="n">
        <f aca="false">'Assumptions &amp; Data'!Q221</f>
        <v>258000</v>
      </c>
      <c r="T87" s="37" t="n">
        <f aca="false">'Assumptions &amp; Data'!R221</f>
        <v>149152</v>
      </c>
      <c r="U87" s="37" t="n">
        <f aca="false">'Assumptions &amp; Data'!S221</f>
        <v>108131</v>
      </c>
      <c r="V87" s="39" t="n">
        <f aca="false">Q87-R87-S87-T87-U87</f>
        <v>324541.098764</v>
      </c>
      <c r="W87" s="39" t="n">
        <f aca="false">DAY(EOMONTH(C87,0))</f>
        <v>28</v>
      </c>
      <c r="X87" s="40" t="n">
        <f aca="false">E87/W87</f>
        <v>717.428571428571</v>
      </c>
      <c r="Y87" s="39" t="n">
        <f aca="false">R87+S87+T87+U87</f>
        <v>852499</v>
      </c>
    </row>
    <row r="88" customFormat="false" ht="15" hidden="false" customHeight="false" outlineLevel="0" collapsed="false">
      <c r="A88" s="37" t="str">
        <f aca="false">'Assumptions &amp; Data'!A222</f>
        <v>SM0018</v>
      </c>
      <c r="B88" s="37" t="str">
        <f aca="false">'Assumptions &amp; Data'!B222</f>
        <v>DS002</v>
      </c>
      <c r="C88" s="38" t="n">
        <f aca="false">'Assumptions &amp; Data'!C222</f>
        <v>46082</v>
      </c>
      <c r="D88" s="39" t="str">
        <f aca="false">INDEX('Assumptions &amp; Data'!$B$142:$B$201,MATCH(B88,'Assumptions &amp; Data'!$A$142:$A$201,0))</f>
        <v>Delhi NCR</v>
      </c>
      <c r="E88" s="37" t="n">
        <f aca="false">'Assumptions &amp; Data'!D222</f>
        <v>22937</v>
      </c>
      <c r="F88" s="39" t="n">
        <f aca="false">E88*'Assumptions &amp; Data'!E222</f>
        <v>14718672.9</v>
      </c>
      <c r="G88" s="39" t="n">
        <f aca="false">F88*'Assumptions &amp; Data'!F222</f>
        <v>1074463.1217</v>
      </c>
      <c r="H88" s="39" t="n">
        <f aca="false">F88-G88</f>
        <v>13644209.7783</v>
      </c>
      <c r="I88" s="39" t="n">
        <f aca="false">H88*'Assumptions &amp; Data'!G222</f>
        <v>2275854.19102044</v>
      </c>
      <c r="J88" s="39" t="n">
        <f aca="false">E88*'Assumptions &amp; Data'!H222</f>
        <v>278225.81</v>
      </c>
      <c r="K88" s="39" t="n">
        <f aca="false">H88*'Assumptions &amp; Data'!I222</f>
        <v>343834.08641316</v>
      </c>
      <c r="L88" s="39" t="n">
        <f aca="false">H88*'Assumptions &amp; Data'!J222</f>
        <v>266062.09067685</v>
      </c>
      <c r="M88" s="39" t="n">
        <f aca="false">I88+J88+K88-L88</f>
        <v>2631851.99675675</v>
      </c>
      <c r="N88" s="39" t="n">
        <f aca="false">E88*'Assumptions &amp; Data'!N222</f>
        <v>872294.11</v>
      </c>
      <c r="O88" s="39" t="n">
        <f aca="false">E88*'Assumptions &amp; Data'!O222</f>
        <v>244279.05</v>
      </c>
      <c r="P88" s="39" t="n">
        <f aca="false">H88*'Assumptions &amp; Data'!P222</f>
        <v>126891.15093819</v>
      </c>
      <c r="Q88" s="39" t="n">
        <f aca="false">M88-N88-O88-P88</f>
        <v>1388387.68581856</v>
      </c>
      <c r="R88" s="39" t="n">
        <f aca="false">'Assumptions &amp; Data'!L222*'Assumptions &amp; Data'!M222</f>
        <v>358615</v>
      </c>
      <c r="S88" s="37" t="n">
        <f aca="false">'Assumptions &amp; Data'!Q222</f>
        <v>258000</v>
      </c>
      <c r="T88" s="37" t="n">
        <f aca="false">'Assumptions &amp; Data'!R222</f>
        <v>130247</v>
      </c>
      <c r="U88" s="37" t="n">
        <f aca="false">'Assumptions &amp; Data'!S222</f>
        <v>100730</v>
      </c>
      <c r="V88" s="39" t="n">
        <f aca="false">Q88-R88-S88-T88-U88</f>
        <v>540795.68581856</v>
      </c>
      <c r="W88" s="39" t="n">
        <f aca="false">DAY(EOMONTH(C88,0))</f>
        <v>31</v>
      </c>
      <c r="X88" s="40" t="n">
        <f aca="false">E88/W88</f>
        <v>739.903225806452</v>
      </c>
      <c r="Y88" s="39" t="n">
        <f aca="false">R88+S88+T88+U88</f>
        <v>847592</v>
      </c>
    </row>
    <row r="89" customFormat="false" ht="15" hidden="false" customHeight="false" outlineLevel="0" collapsed="false">
      <c r="A89" s="37" t="str">
        <f aca="false">'Assumptions &amp; Data'!A223</f>
        <v>SM0019</v>
      </c>
      <c r="B89" s="37" t="str">
        <f aca="false">'Assumptions &amp; Data'!B223</f>
        <v>DS002</v>
      </c>
      <c r="C89" s="38" t="n">
        <f aca="false">'Assumptions &amp; Data'!C223</f>
        <v>46113</v>
      </c>
      <c r="D89" s="39" t="str">
        <f aca="false">INDEX('Assumptions &amp; Data'!$B$142:$B$201,MATCH(B89,'Assumptions &amp; Data'!$A$142:$A$201,0))</f>
        <v>Delhi NCR</v>
      </c>
      <c r="E89" s="37" t="n">
        <f aca="false">'Assumptions &amp; Data'!D223</f>
        <v>21004</v>
      </c>
      <c r="F89" s="39" t="n">
        <f aca="false">E89*'Assumptions &amp; Data'!E223</f>
        <v>13274528</v>
      </c>
      <c r="G89" s="39" t="n">
        <f aca="false">F89*'Assumptions &amp; Data'!F223</f>
        <v>1019483.7504</v>
      </c>
      <c r="H89" s="39" t="n">
        <f aca="false">F89-G89</f>
        <v>12255044.2496</v>
      </c>
      <c r="I89" s="39" t="n">
        <f aca="false">H89*'Assumptions &amp; Data'!G223</f>
        <v>2050268.90295808</v>
      </c>
      <c r="J89" s="39" t="n">
        <f aca="false">E89*'Assumptions &amp; Data'!H223</f>
        <v>246586.96</v>
      </c>
      <c r="K89" s="39" t="n">
        <f aca="false">H89*'Assumptions &amp; Data'!I223</f>
        <v>311278.12393984</v>
      </c>
      <c r="L89" s="39" t="n">
        <f aca="false">H89*'Assumptions &amp; Data'!J223</f>
        <v>238973.3628672</v>
      </c>
      <c r="M89" s="39" t="n">
        <f aca="false">I89+J89+K89-L89</f>
        <v>2369160.62403072</v>
      </c>
      <c r="N89" s="39" t="n">
        <f aca="false">E89*'Assumptions &amp; Data'!N223</f>
        <v>798782.12</v>
      </c>
      <c r="O89" s="39" t="n">
        <f aca="false">E89*'Assumptions &amp; Data'!O223</f>
        <v>217601.44</v>
      </c>
      <c r="P89" s="39" t="n">
        <f aca="false">H89*'Assumptions &amp; Data'!P223</f>
        <v>122550.442496</v>
      </c>
      <c r="Q89" s="39" t="n">
        <f aca="false">M89-N89-O89-P89</f>
        <v>1230226.62153472</v>
      </c>
      <c r="R89" s="39" t="n">
        <f aca="false">'Assumptions &amp; Data'!L223*'Assumptions &amp; Data'!M223</f>
        <v>337840</v>
      </c>
      <c r="S89" s="37" t="n">
        <f aca="false">'Assumptions &amp; Data'!Q223</f>
        <v>258000</v>
      </c>
      <c r="T89" s="37" t="n">
        <f aca="false">'Assumptions &amp; Data'!R223</f>
        <v>135982</v>
      </c>
      <c r="U89" s="37" t="n">
        <f aca="false">'Assumptions &amp; Data'!S223</f>
        <v>82456</v>
      </c>
      <c r="V89" s="39" t="n">
        <f aca="false">Q89-R89-S89-T89-U89</f>
        <v>415948.62153472</v>
      </c>
      <c r="W89" s="39" t="n">
        <f aca="false">DAY(EOMONTH(C89,0))</f>
        <v>30</v>
      </c>
      <c r="X89" s="40" t="n">
        <f aca="false">E89/W89</f>
        <v>700.133333333333</v>
      </c>
      <c r="Y89" s="39" t="n">
        <f aca="false">R89+S89+T89+U89</f>
        <v>814278</v>
      </c>
    </row>
    <row r="90" customFormat="false" ht="15" hidden="false" customHeight="false" outlineLevel="0" collapsed="false">
      <c r="A90" s="37" t="str">
        <f aca="false">'Assumptions &amp; Data'!A224</f>
        <v>SM0020</v>
      </c>
      <c r="B90" s="37" t="str">
        <f aca="false">'Assumptions &amp; Data'!B224</f>
        <v>DS002</v>
      </c>
      <c r="C90" s="38" t="n">
        <f aca="false">'Assumptions &amp; Data'!C224</f>
        <v>46143</v>
      </c>
      <c r="D90" s="39" t="str">
        <f aca="false">INDEX('Assumptions &amp; Data'!$B$142:$B$201,MATCH(B90,'Assumptions &amp; Data'!$A$142:$A$201,0))</f>
        <v>Delhi NCR</v>
      </c>
      <c r="E90" s="37" t="n">
        <f aca="false">'Assumptions &amp; Data'!D224</f>
        <v>23606</v>
      </c>
      <c r="F90" s="39" t="n">
        <f aca="false">E90*'Assumptions &amp; Data'!E224</f>
        <v>15178658</v>
      </c>
      <c r="G90" s="39" t="n">
        <f aca="false">F90*'Assumptions &amp; Data'!F224</f>
        <v>1168756.666</v>
      </c>
      <c r="H90" s="39" t="n">
        <f aca="false">F90-G90</f>
        <v>14009901.334</v>
      </c>
      <c r="I90" s="39" t="n">
        <f aca="false">H90*'Assumptions &amp; Data'!G224</f>
        <v>2360668.374779</v>
      </c>
      <c r="J90" s="39" t="n">
        <f aca="false">E90*'Assumptions &amp; Data'!H224</f>
        <v>277370.5</v>
      </c>
      <c r="K90" s="39" t="n">
        <f aca="false">H90*'Assumptions &amp; Data'!I224</f>
        <v>361455.4544172</v>
      </c>
      <c r="L90" s="39" t="n">
        <f aca="false">H90*'Assumptions &amp; Data'!J224</f>
        <v>267589.1154794</v>
      </c>
      <c r="M90" s="39" t="n">
        <f aca="false">I90+J90+K90-L90</f>
        <v>2731905.2137168</v>
      </c>
      <c r="N90" s="39" t="n">
        <f aca="false">E90*'Assumptions &amp; Data'!N224</f>
        <v>868936.86</v>
      </c>
      <c r="O90" s="39" t="n">
        <f aca="false">E90*'Assumptions &amp; Data'!O224</f>
        <v>251167.84</v>
      </c>
      <c r="P90" s="39" t="n">
        <f aca="false">H90*'Assumptions &amp; Data'!P224</f>
        <v>145702.9738736</v>
      </c>
      <c r="Q90" s="39" t="n">
        <f aca="false">M90-N90-O90-P90</f>
        <v>1466097.5398432</v>
      </c>
      <c r="R90" s="39" t="n">
        <f aca="false">'Assumptions &amp; Data'!L224*'Assumptions &amp; Data'!M224</f>
        <v>380412</v>
      </c>
      <c r="S90" s="37" t="n">
        <f aca="false">'Assumptions &amp; Data'!Q224</f>
        <v>258000</v>
      </c>
      <c r="T90" s="37" t="n">
        <f aca="false">'Assumptions &amp; Data'!R224</f>
        <v>134788</v>
      </c>
      <c r="U90" s="37" t="n">
        <f aca="false">'Assumptions &amp; Data'!S224</f>
        <v>98825</v>
      </c>
      <c r="V90" s="39" t="n">
        <f aca="false">Q90-R90-S90-T90-U90</f>
        <v>594072.5398432</v>
      </c>
      <c r="W90" s="39" t="n">
        <f aca="false">DAY(EOMONTH(C90,0))</f>
        <v>31</v>
      </c>
      <c r="X90" s="40" t="n">
        <f aca="false">E90/W90</f>
        <v>761.483870967742</v>
      </c>
      <c r="Y90" s="39" t="n">
        <f aca="false">R90+S90+T90+U90</f>
        <v>872025</v>
      </c>
    </row>
    <row r="91" customFormat="false" ht="15" hidden="false" customHeight="false" outlineLevel="0" collapsed="false">
      <c r="A91" s="37" t="str">
        <f aca="false">'Assumptions &amp; Data'!A225</f>
        <v>SM0021</v>
      </c>
      <c r="B91" s="37" t="str">
        <f aca="false">'Assumptions &amp; Data'!B225</f>
        <v>DS002</v>
      </c>
      <c r="C91" s="38" t="n">
        <f aca="false">'Assumptions &amp; Data'!C225</f>
        <v>46174</v>
      </c>
      <c r="D91" s="39" t="str">
        <f aca="false">INDEX('Assumptions &amp; Data'!$B$142:$B$201,MATCH(B91,'Assumptions &amp; Data'!$A$142:$A$201,0))</f>
        <v>Delhi NCR</v>
      </c>
      <c r="E91" s="37" t="n">
        <f aca="false">'Assumptions &amp; Data'!D225</f>
        <v>21824</v>
      </c>
      <c r="F91" s="39" t="n">
        <f aca="false">E91*'Assumptions &amp; Data'!E225</f>
        <v>14109216</v>
      </c>
      <c r="G91" s="39" t="n">
        <f aca="false">F91*'Assumptions &amp; Data'!F225</f>
        <v>1061013.0432</v>
      </c>
      <c r="H91" s="39" t="n">
        <f aca="false">F91-G91</f>
        <v>13048202.9568</v>
      </c>
      <c r="I91" s="39" t="n">
        <f aca="false">H91*'Assumptions &amp; Data'!G225</f>
        <v>2160782.40964608</v>
      </c>
      <c r="J91" s="39" t="n">
        <f aca="false">E91*'Assumptions &amp; Data'!H225</f>
        <v>269308.16</v>
      </c>
      <c r="K91" s="39" t="n">
        <f aca="false">H91*'Assumptions &amp; Data'!I225</f>
        <v>313156.8709632</v>
      </c>
      <c r="L91" s="39" t="n">
        <f aca="false">H91*'Assumptions &amp; Data'!J225</f>
        <v>270097.80120576</v>
      </c>
      <c r="M91" s="39" t="n">
        <f aca="false">I91+J91+K91-L91</f>
        <v>2473149.63940352</v>
      </c>
      <c r="N91" s="39" t="n">
        <f aca="false">E91*'Assumptions &amp; Data'!N225</f>
        <v>819927.68</v>
      </c>
      <c r="O91" s="39" t="n">
        <f aca="false">E91*'Assumptions &amp; Data'!O225</f>
        <v>223477.76</v>
      </c>
      <c r="P91" s="39" t="n">
        <f aca="false">H91*'Assumptions &amp; Data'!P225</f>
        <v>131786.84986368</v>
      </c>
      <c r="Q91" s="39" t="n">
        <f aca="false">M91-N91-O91-P91</f>
        <v>1297957.34953984</v>
      </c>
      <c r="R91" s="39" t="n">
        <f aca="false">'Assumptions &amp; Data'!L225*'Assumptions &amp; Data'!M225</f>
        <v>359601</v>
      </c>
      <c r="S91" s="37" t="n">
        <f aca="false">'Assumptions &amp; Data'!Q225</f>
        <v>258000</v>
      </c>
      <c r="T91" s="37" t="n">
        <f aca="false">'Assumptions &amp; Data'!R225</f>
        <v>140752</v>
      </c>
      <c r="U91" s="37" t="n">
        <f aca="false">'Assumptions &amp; Data'!S225</f>
        <v>99933</v>
      </c>
      <c r="V91" s="39" t="n">
        <f aca="false">Q91-R91-S91-T91-U91</f>
        <v>439671.34953984</v>
      </c>
      <c r="W91" s="39" t="n">
        <f aca="false">DAY(EOMONTH(C91,0))</f>
        <v>30</v>
      </c>
      <c r="X91" s="40" t="n">
        <f aca="false">E91/W91</f>
        <v>727.466666666667</v>
      </c>
      <c r="Y91" s="39" t="n">
        <f aca="false">R91+S91+T91+U91</f>
        <v>858286</v>
      </c>
    </row>
    <row r="92" customFormat="false" ht="15" hidden="false" customHeight="false" outlineLevel="0" collapsed="false">
      <c r="A92" s="37" t="str">
        <f aca="false">'Assumptions &amp; Data'!A226</f>
        <v>SM0022</v>
      </c>
      <c r="B92" s="37" t="str">
        <f aca="false">'Assumptions &amp; Data'!B226</f>
        <v>DS002</v>
      </c>
      <c r="C92" s="38" t="n">
        <f aca="false">'Assumptions &amp; Data'!C226</f>
        <v>46204</v>
      </c>
      <c r="D92" s="39" t="str">
        <f aca="false">INDEX('Assumptions &amp; Data'!$B$142:$B$201,MATCH(B92,'Assumptions &amp; Data'!$A$142:$A$201,0))</f>
        <v>Delhi NCR</v>
      </c>
      <c r="E92" s="37" t="n">
        <f aca="false">'Assumptions &amp; Data'!D226</f>
        <v>22670</v>
      </c>
      <c r="F92" s="39" t="n">
        <f aca="false">E92*'Assumptions &amp; Data'!E226</f>
        <v>14053133</v>
      </c>
      <c r="G92" s="39" t="n">
        <f aca="false">F92*'Assumptions &amp; Data'!F226</f>
        <v>1004799.0095</v>
      </c>
      <c r="H92" s="39" t="n">
        <f aca="false">F92-G92</f>
        <v>13048333.9905</v>
      </c>
      <c r="I92" s="39" t="n">
        <f aca="false">H92*'Assumptions &amp; Data'!G226</f>
        <v>2180376.60981255</v>
      </c>
      <c r="J92" s="39" t="n">
        <f aca="false">E92*'Assumptions &amp; Data'!H226</f>
        <v>267279.3</v>
      </c>
      <c r="K92" s="39" t="n">
        <f aca="false">H92*'Assumptions &amp; Data'!I226</f>
        <v>314464.84917105</v>
      </c>
      <c r="L92" s="39" t="n">
        <f aca="false">H92*'Assumptions &amp; Data'!J226</f>
        <v>262271.51320905</v>
      </c>
      <c r="M92" s="39" t="n">
        <f aca="false">I92+J92+K92-L92</f>
        <v>2499849.24577455</v>
      </c>
      <c r="N92" s="39" t="n">
        <f aca="false">E92*'Assumptions &amp; Data'!N226</f>
        <v>853298.8</v>
      </c>
      <c r="O92" s="39" t="n">
        <f aca="false">E92*'Assumptions &amp; Data'!O226</f>
        <v>238035</v>
      </c>
      <c r="P92" s="39" t="n">
        <f aca="false">H92*'Assumptions &amp; Data'!P226</f>
        <v>129178.50650595</v>
      </c>
      <c r="Q92" s="39" t="n">
        <f aca="false">M92-N92-O92-P92</f>
        <v>1279336.9392686</v>
      </c>
      <c r="R92" s="39" t="n">
        <f aca="false">'Assumptions &amp; Data'!L226*'Assumptions &amp; Data'!M226</f>
        <v>381096</v>
      </c>
      <c r="S92" s="37" t="n">
        <f aca="false">'Assumptions &amp; Data'!Q226</f>
        <v>258000</v>
      </c>
      <c r="T92" s="37" t="n">
        <f aca="false">'Assumptions &amp; Data'!R226</f>
        <v>142388</v>
      </c>
      <c r="U92" s="37" t="n">
        <f aca="false">'Assumptions &amp; Data'!S226</f>
        <v>83286</v>
      </c>
      <c r="V92" s="39" t="n">
        <f aca="false">Q92-R92-S92-T92-U92</f>
        <v>414566.939268599</v>
      </c>
      <c r="W92" s="39" t="n">
        <f aca="false">DAY(EOMONTH(C92,0))</f>
        <v>31</v>
      </c>
      <c r="X92" s="40" t="n">
        <f aca="false">E92/W92</f>
        <v>731.290322580645</v>
      </c>
      <c r="Y92" s="39" t="n">
        <f aca="false">R92+S92+T92+U92</f>
        <v>864770</v>
      </c>
    </row>
    <row r="93" customFormat="false" ht="15" hidden="false" customHeight="false" outlineLevel="0" collapsed="false">
      <c r="A93" s="37" t="str">
        <f aca="false">'Assumptions &amp; Data'!A227</f>
        <v>SM0023</v>
      </c>
      <c r="B93" s="37" t="str">
        <f aca="false">'Assumptions &amp; Data'!B227</f>
        <v>DS002</v>
      </c>
      <c r="C93" s="38" t="n">
        <f aca="false">'Assumptions &amp; Data'!C227</f>
        <v>46235</v>
      </c>
      <c r="D93" s="39" t="str">
        <f aca="false">INDEX('Assumptions &amp; Data'!$B$142:$B$201,MATCH(B93,'Assumptions &amp; Data'!$A$142:$A$201,0))</f>
        <v>Delhi NCR</v>
      </c>
      <c r="E93" s="37" t="n">
        <f aca="false">'Assumptions &amp; Data'!D227</f>
        <v>22340</v>
      </c>
      <c r="F93" s="39" t="n">
        <f aca="false">E93*'Assumptions &amp; Data'!E227</f>
        <v>14152390</v>
      </c>
      <c r="G93" s="39" t="n">
        <f aca="false">F93*'Assumptions &amp; Data'!F227</f>
        <v>1084073.074</v>
      </c>
      <c r="H93" s="39" t="n">
        <f aca="false">F93-G93</f>
        <v>13068316.926</v>
      </c>
      <c r="I93" s="39" t="n">
        <f aca="false">H93*'Assumptions &amp; Data'!G227</f>
        <v>2220307.0457274</v>
      </c>
      <c r="J93" s="39" t="n">
        <f aca="false">E93*'Assumptions &amp; Data'!H227</f>
        <v>272994.8</v>
      </c>
      <c r="K93" s="39" t="n">
        <f aca="false">H93*'Assumptions &amp; Data'!I227</f>
        <v>311025.9428388</v>
      </c>
      <c r="L93" s="39" t="n">
        <f aca="false">H93*'Assumptions &amp; Data'!J227</f>
        <v>270514.1603682</v>
      </c>
      <c r="M93" s="39" t="n">
        <f aca="false">I93+J93+K93-L93</f>
        <v>2533813.628198</v>
      </c>
      <c r="N93" s="39" t="n">
        <f aca="false">E93*'Assumptions &amp; Data'!N227</f>
        <v>833505.4</v>
      </c>
      <c r="O93" s="39" t="n">
        <f aca="false">E93*'Assumptions &amp; Data'!O227</f>
        <v>231665.8</v>
      </c>
      <c r="P93" s="39" t="n">
        <f aca="false">H93*'Assumptions &amp; Data'!P227</f>
        <v>130683.16926</v>
      </c>
      <c r="Q93" s="39" t="n">
        <f aca="false">M93-N93-O93-P93</f>
        <v>1337959.258938</v>
      </c>
      <c r="R93" s="39" t="n">
        <f aca="false">'Assumptions &amp; Data'!L227*'Assumptions &amp; Data'!M227</f>
        <v>360247</v>
      </c>
      <c r="S93" s="37" t="n">
        <f aca="false">'Assumptions &amp; Data'!Q227</f>
        <v>258000</v>
      </c>
      <c r="T93" s="37" t="n">
        <f aca="false">'Assumptions &amp; Data'!R227</f>
        <v>135979</v>
      </c>
      <c r="U93" s="37" t="n">
        <f aca="false">'Assumptions &amp; Data'!S227</f>
        <v>86441</v>
      </c>
      <c r="V93" s="39" t="n">
        <f aca="false">Q93-R93-S93-T93-U93</f>
        <v>497292.258938</v>
      </c>
      <c r="W93" s="39" t="n">
        <f aca="false">DAY(EOMONTH(C93,0))</f>
        <v>31</v>
      </c>
      <c r="X93" s="40" t="n">
        <f aca="false">E93/W93</f>
        <v>720.645161290323</v>
      </c>
      <c r="Y93" s="39" t="n">
        <f aca="false">R93+S93+T93+U93</f>
        <v>840667</v>
      </c>
    </row>
    <row r="94" customFormat="false" ht="15" hidden="false" customHeight="false" outlineLevel="0" collapsed="false">
      <c r="A94" s="37" t="str">
        <f aca="false">'Assumptions &amp; Data'!A228</f>
        <v>SM0024</v>
      </c>
      <c r="B94" s="37" t="str">
        <f aca="false">'Assumptions &amp; Data'!B228</f>
        <v>DS002</v>
      </c>
      <c r="C94" s="38" t="n">
        <f aca="false">'Assumptions &amp; Data'!C228</f>
        <v>46266</v>
      </c>
      <c r="D94" s="39" t="str">
        <f aca="false">INDEX('Assumptions &amp; Data'!$B$142:$B$201,MATCH(B94,'Assumptions &amp; Data'!$A$142:$A$201,0))</f>
        <v>Delhi NCR</v>
      </c>
      <c r="E94" s="37" t="n">
        <f aca="false">'Assumptions &amp; Data'!D228</f>
        <v>22642</v>
      </c>
      <c r="F94" s="39" t="n">
        <f aca="false">E94*'Assumptions &amp; Data'!E228</f>
        <v>14522578.8</v>
      </c>
      <c r="G94" s="39" t="n">
        <f aca="false">F94*'Assumptions &amp; Data'!F228</f>
        <v>1119690.82548</v>
      </c>
      <c r="H94" s="39" t="n">
        <f aca="false">F94-G94</f>
        <v>13402887.97452</v>
      </c>
      <c r="I94" s="39" t="n">
        <f aca="false">H94*'Assumptions &amp; Data'!G228</f>
        <v>2251685.17971936</v>
      </c>
      <c r="J94" s="39" t="n">
        <f aca="false">E94*'Assumptions &amp; Data'!H228</f>
        <v>249967.68</v>
      </c>
      <c r="K94" s="39" t="n">
        <f aca="false">H94*'Assumptions &amp; Data'!I228</f>
        <v>320329.022591028</v>
      </c>
      <c r="L94" s="39" t="n">
        <f aca="false">H94*'Assumptions &amp; Data'!J228</f>
        <v>258675.737908236</v>
      </c>
      <c r="M94" s="39" t="n">
        <f aca="false">I94+J94+K94-L94</f>
        <v>2563306.14440215</v>
      </c>
      <c r="N94" s="39" t="n">
        <f aca="false">E94*'Assumptions &amp; Data'!N228</f>
        <v>838433.26</v>
      </c>
      <c r="O94" s="39" t="n">
        <f aca="false">E94*'Assumptions &amp; Data'!O228</f>
        <v>232080.5</v>
      </c>
      <c r="P94" s="39" t="n">
        <f aca="false">H94*'Assumptions &amp; Data'!P228</f>
        <v>142070.612529912</v>
      </c>
      <c r="Q94" s="39" t="n">
        <f aca="false">M94-N94-O94-P94</f>
        <v>1350721.77187224</v>
      </c>
      <c r="R94" s="39" t="n">
        <f aca="false">'Assumptions &amp; Data'!L228*'Assumptions &amp; Data'!M228</f>
        <v>360570</v>
      </c>
      <c r="S94" s="37" t="n">
        <f aca="false">'Assumptions &amp; Data'!Q228</f>
        <v>258000</v>
      </c>
      <c r="T94" s="37" t="n">
        <f aca="false">'Assumptions &amp; Data'!R228</f>
        <v>130577</v>
      </c>
      <c r="U94" s="37" t="n">
        <f aca="false">'Assumptions &amp; Data'!S228</f>
        <v>89620</v>
      </c>
      <c r="V94" s="39" t="n">
        <f aca="false">Q94-R94-S94-T94-U94</f>
        <v>511954.77187224</v>
      </c>
      <c r="W94" s="39" t="n">
        <f aca="false">DAY(EOMONTH(C94,0))</f>
        <v>30</v>
      </c>
      <c r="X94" s="40" t="n">
        <f aca="false">E94/W94</f>
        <v>754.733333333333</v>
      </c>
      <c r="Y94" s="39" t="n">
        <f aca="false">R94+S94+T94+U94</f>
        <v>838767</v>
      </c>
    </row>
    <row r="95" customFormat="false" ht="15" hidden="false" customHeight="false" outlineLevel="0" collapsed="false">
      <c r="A95" s="37" t="str">
        <f aca="false">'Assumptions &amp; Data'!A229</f>
        <v>SM0025</v>
      </c>
      <c r="B95" s="37" t="str">
        <f aca="false">'Assumptions &amp; Data'!B229</f>
        <v>DS003</v>
      </c>
      <c r="C95" s="38" t="n">
        <f aca="false">'Assumptions &amp; Data'!C229</f>
        <v>45931</v>
      </c>
      <c r="D95" s="39" t="str">
        <f aca="false">INDEX('Assumptions &amp; Data'!$B$142:$B$201,MATCH(B95,'Assumptions &amp; Data'!$A$142:$A$201,0))</f>
        <v>Delhi NCR</v>
      </c>
      <c r="E95" s="37" t="n">
        <f aca="false">'Assumptions &amp; Data'!D229</f>
        <v>29695</v>
      </c>
      <c r="F95" s="39" t="n">
        <f aca="false">E95*'Assumptions &amp; Data'!E229</f>
        <v>19182970</v>
      </c>
      <c r="G95" s="39" t="n">
        <f aca="false">F95*'Assumptions &amp; Data'!F229</f>
        <v>1076164.617</v>
      </c>
      <c r="H95" s="39" t="n">
        <f aca="false">F95-G95</f>
        <v>18106805.383</v>
      </c>
      <c r="I95" s="39" t="n">
        <f aca="false">H95*'Assumptions &amp; Data'!G229</f>
        <v>3076346.2345717</v>
      </c>
      <c r="J95" s="39" t="n">
        <f aca="false">E95*'Assumptions &amp; Data'!H229</f>
        <v>364357.65</v>
      </c>
      <c r="K95" s="39" t="n">
        <f aca="false">H95*'Assumptions &amp; Data'!I229</f>
        <v>510611.9118006</v>
      </c>
      <c r="L95" s="39" t="n">
        <f aca="false">H95*'Assumptions &amp; Data'!J229</f>
        <v>398349.718426</v>
      </c>
      <c r="M95" s="39" t="n">
        <f aca="false">I95+J95+K95-L95</f>
        <v>3552966.0779463</v>
      </c>
      <c r="N95" s="39" t="n">
        <f aca="false">E95*'Assumptions &amp; Data'!N229</f>
        <v>1152462.95</v>
      </c>
      <c r="O95" s="39" t="n">
        <f aca="false">E95*'Assumptions &amp; Data'!O229</f>
        <v>291901.85</v>
      </c>
      <c r="P95" s="39" t="n">
        <f aca="false">H95*'Assumptions &amp; Data'!P229</f>
        <v>184689.4149066</v>
      </c>
      <c r="Q95" s="39" t="n">
        <f aca="false">M95-N95-O95-P95</f>
        <v>1923911.8630397</v>
      </c>
      <c r="R95" s="39" t="n">
        <f aca="false">'Assumptions &amp; Data'!L229*'Assumptions &amp; Data'!M229</f>
        <v>693000</v>
      </c>
      <c r="S95" s="37" t="n">
        <f aca="false">'Assumptions &amp; Data'!Q229</f>
        <v>626500</v>
      </c>
      <c r="T95" s="37" t="n">
        <f aca="false">'Assumptions &amp; Data'!R229</f>
        <v>153594</v>
      </c>
      <c r="U95" s="37" t="n">
        <f aca="false">'Assumptions &amp; Data'!S229</f>
        <v>240455</v>
      </c>
      <c r="V95" s="39" t="n">
        <f aca="false">Q95-R95-S95-T95-U95</f>
        <v>210362.8630397</v>
      </c>
      <c r="W95" s="39" t="n">
        <f aca="false">DAY(EOMONTH(C95,0))</f>
        <v>31</v>
      </c>
      <c r="X95" s="40" t="n">
        <f aca="false">E95/W95</f>
        <v>957.903225806452</v>
      </c>
      <c r="Y95" s="39" t="n">
        <f aca="false">R95+S95+T95+U95</f>
        <v>1713549</v>
      </c>
    </row>
    <row r="96" customFormat="false" ht="15" hidden="false" customHeight="false" outlineLevel="0" collapsed="false">
      <c r="A96" s="37" t="str">
        <f aca="false">'Assumptions &amp; Data'!A230</f>
        <v>SM0026</v>
      </c>
      <c r="B96" s="37" t="str">
        <f aca="false">'Assumptions &amp; Data'!B230</f>
        <v>DS003</v>
      </c>
      <c r="C96" s="38" t="n">
        <f aca="false">'Assumptions &amp; Data'!C230</f>
        <v>45962</v>
      </c>
      <c r="D96" s="39" t="str">
        <f aca="false">INDEX('Assumptions &amp; Data'!$B$142:$B$201,MATCH(B96,'Assumptions &amp; Data'!$A$142:$A$201,0))</f>
        <v>Delhi NCR</v>
      </c>
      <c r="E96" s="37" t="n">
        <f aca="false">'Assumptions &amp; Data'!D230</f>
        <v>32120</v>
      </c>
      <c r="F96" s="39" t="n">
        <f aca="false">E96*'Assumptions &amp; Data'!E230</f>
        <v>21170292</v>
      </c>
      <c r="G96" s="39" t="n">
        <f aca="false">F96*'Assumptions &amp; Data'!F230</f>
        <v>1198238.5272</v>
      </c>
      <c r="H96" s="39" t="n">
        <f aca="false">F96-G96</f>
        <v>19972053.4728</v>
      </c>
      <c r="I96" s="39" t="n">
        <f aca="false">H96*'Assumptions &amp; Data'!G230</f>
        <v>3415221.1438488</v>
      </c>
      <c r="J96" s="39" t="n">
        <f aca="false">E96*'Assumptions &amp; Data'!H230</f>
        <v>398609.2</v>
      </c>
      <c r="K96" s="39" t="n">
        <f aca="false">H96*'Assumptions &amp; Data'!I230</f>
        <v>563211.90793296</v>
      </c>
      <c r="L96" s="39" t="n">
        <f aca="false">H96*'Assumptions &amp; Data'!J230</f>
        <v>423407.53362336</v>
      </c>
      <c r="M96" s="39" t="n">
        <f aca="false">I96+J96+K96-L96</f>
        <v>3953634.7181584</v>
      </c>
      <c r="N96" s="39" t="n">
        <f aca="false">E96*'Assumptions &amp; Data'!N230</f>
        <v>1211566.4</v>
      </c>
      <c r="O96" s="39" t="n">
        <f aca="false">E96*'Assumptions &amp; Data'!O230</f>
        <v>325696.8</v>
      </c>
      <c r="P96" s="39" t="n">
        <f aca="false">H96*'Assumptions &amp; Data'!P230</f>
        <v>185740.09729704</v>
      </c>
      <c r="Q96" s="39" t="n">
        <f aca="false">M96-N96-O96-P96</f>
        <v>2230631.42086136</v>
      </c>
      <c r="R96" s="39" t="n">
        <f aca="false">'Assumptions &amp; Data'!L230*'Assumptions &amp; Data'!M230</f>
        <v>714646</v>
      </c>
      <c r="S96" s="37" t="n">
        <f aca="false">'Assumptions &amp; Data'!Q230</f>
        <v>626500</v>
      </c>
      <c r="T96" s="37" t="n">
        <f aca="false">'Assumptions &amp; Data'!R230</f>
        <v>146737</v>
      </c>
      <c r="U96" s="37" t="n">
        <f aca="false">'Assumptions &amp; Data'!S230</f>
        <v>289068</v>
      </c>
      <c r="V96" s="39" t="n">
        <f aca="false">Q96-R96-S96-T96-U96</f>
        <v>453680.420861361</v>
      </c>
      <c r="W96" s="39" t="n">
        <f aca="false">DAY(EOMONTH(C96,0))</f>
        <v>30</v>
      </c>
      <c r="X96" s="40" t="n">
        <f aca="false">E96/W96</f>
        <v>1070.66666666667</v>
      </c>
      <c r="Y96" s="39" t="n">
        <f aca="false">R96+S96+T96+U96</f>
        <v>1776951</v>
      </c>
    </row>
    <row r="97" customFormat="false" ht="15" hidden="false" customHeight="false" outlineLevel="0" collapsed="false">
      <c r="A97" s="37" t="str">
        <f aca="false">'Assumptions &amp; Data'!A231</f>
        <v>SM0027</v>
      </c>
      <c r="B97" s="37" t="str">
        <f aca="false">'Assumptions &amp; Data'!B231</f>
        <v>DS003</v>
      </c>
      <c r="C97" s="38" t="n">
        <f aca="false">'Assumptions &amp; Data'!C231</f>
        <v>45992</v>
      </c>
      <c r="D97" s="39" t="str">
        <f aca="false">INDEX('Assumptions &amp; Data'!$B$142:$B$201,MATCH(B97,'Assumptions &amp; Data'!$A$142:$A$201,0))</f>
        <v>Delhi NCR</v>
      </c>
      <c r="E97" s="37" t="n">
        <f aca="false">'Assumptions &amp; Data'!D231</f>
        <v>33703</v>
      </c>
      <c r="F97" s="39" t="n">
        <f aca="false">E97*'Assumptions &amp; Data'!E231</f>
        <v>21377812.9</v>
      </c>
      <c r="G97" s="39" t="n">
        <f aca="false">F97*'Assumptions &amp; Data'!F231</f>
        <v>1209984.21014</v>
      </c>
      <c r="H97" s="39" t="n">
        <f aca="false">F97-G97</f>
        <v>20167828.68986</v>
      </c>
      <c r="I97" s="39" t="n">
        <f aca="false">H97*'Assumptions &amp; Data'!G231</f>
        <v>3349876.34538575</v>
      </c>
      <c r="J97" s="39" t="n">
        <f aca="false">E97*'Assumptions &amp; Data'!H231</f>
        <v>412524.72</v>
      </c>
      <c r="K97" s="39" t="n">
        <f aca="false">H97*'Assumptions &amp; Data'!I231</f>
        <v>619152.340778702</v>
      </c>
      <c r="L97" s="39" t="n">
        <f aca="false">H97*'Assumptions &amp; Data'!J231</f>
        <v>437641.882569962</v>
      </c>
      <c r="M97" s="39" t="n">
        <f aca="false">I97+J97+K97-L97</f>
        <v>3943911.52359449</v>
      </c>
      <c r="N97" s="39" t="n">
        <f aca="false">E97*'Assumptions &amp; Data'!N231</f>
        <v>1260155.17</v>
      </c>
      <c r="O97" s="39" t="n">
        <f aca="false">E97*'Assumptions &amp; Data'!O231</f>
        <v>342085.45</v>
      </c>
      <c r="P97" s="39" t="n">
        <f aca="false">H97*'Assumptions &amp; Data'!P231</f>
        <v>199661.504029614</v>
      </c>
      <c r="Q97" s="39" t="n">
        <f aca="false">M97-N97-O97-P97</f>
        <v>2142009.39956487</v>
      </c>
      <c r="R97" s="39" t="n">
        <f aca="false">'Assumptions &amp; Data'!L231*'Assumptions &amp; Data'!M231</f>
        <v>736330</v>
      </c>
      <c r="S97" s="37" t="n">
        <f aca="false">'Assumptions &amp; Data'!Q231</f>
        <v>626500</v>
      </c>
      <c r="T97" s="37" t="n">
        <f aca="false">'Assumptions &amp; Data'!R231</f>
        <v>162361</v>
      </c>
      <c r="U97" s="37" t="n">
        <f aca="false">'Assumptions &amp; Data'!S231</f>
        <v>235936</v>
      </c>
      <c r="V97" s="39" t="n">
        <f aca="false">Q97-R97-S97-T97-U97</f>
        <v>380882.399564872</v>
      </c>
      <c r="W97" s="39" t="n">
        <f aca="false">DAY(EOMONTH(C97,0))</f>
        <v>31</v>
      </c>
      <c r="X97" s="40" t="n">
        <f aca="false">E97/W97</f>
        <v>1087.1935483871</v>
      </c>
      <c r="Y97" s="39" t="n">
        <f aca="false">R97+S97+T97+U97</f>
        <v>1761127</v>
      </c>
    </row>
    <row r="98" customFormat="false" ht="15" hidden="false" customHeight="false" outlineLevel="0" collapsed="false">
      <c r="A98" s="37" t="str">
        <f aca="false">'Assumptions &amp; Data'!A232</f>
        <v>SM0028</v>
      </c>
      <c r="B98" s="37" t="str">
        <f aca="false">'Assumptions &amp; Data'!B232</f>
        <v>DS003</v>
      </c>
      <c r="C98" s="38" t="n">
        <f aca="false">'Assumptions &amp; Data'!C232</f>
        <v>46023</v>
      </c>
      <c r="D98" s="39" t="str">
        <f aca="false">INDEX('Assumptions &amp; Data'!$B$142:$B$201,MATCH(B98,'Assumptions &amp; Data'!$A$142:$A$201,0))</f>
        <v>Delhi NCR</v>
      </c>
      <c r="E98" s="37" t="n">
        <f aca="false">'Assumptions &amp; Data'!D232</f>
        <v>31003</v>
      </c>
      <c r="F98" s="39" t="n">
        <f aca="false">E98*'Assumptions &amp; Data'!E232</f>
        <v>20176752.4</v>
      </c>
      <c r="G98" s="39" t="n">
        <f aca="false">F98*'Assumptions &amp; Data'!F232</f>
        <v>1146039.53632</v>
      </c>
      <c r="H98" s="39" t="n">
        <f aca="false">F98-G98</f>
        <v>19030712.86368</v>
      </c>
      <c r="I98" s="39" t="n">
        <f aca="false">H98*'Assumptions &amp; Data'!G232</f>
        <v>3237124.25811197</v>
      </c>
      <c r="J98" s="39" t="n">
        <f aca="false">E98*'Assumptions &amp; Data'!H232</f>
        <v>395908.31</v>
      </c>
      <c r="K98" s="39" t="n">
        <f aca="false">H98*'Assumptions &amp; Data'!I232</f>
        <v>521441.532464832</v>
      </c>
      <c r="L98" s="39" t="n">
        <f aca="false">H98*'Assumptions &amp; Data'!J232</f>
        <v>388226.542419072</v>
      </c>
      <c r="M98" s="39" t="n">
        <f aca="false">I98+J98+K98-L98</f>
        <v>3766247.55815773</v>
      </c>
      <c r="N98" s="39" t="n">
        <f aca="false">E98*'Assumptions &amp; Data'!N232</f>
        <v>1170363.25</v>
      </c>
      <c r="O98" s="39" t="n">
        <f aca="false">E98*'Assumptions &amp; Data'!O232</f>
        <v>326771.62</v>
      </c>
      <c r="P98" s="39" t="n">
        <f aca="false">H98*'Assumptions &amp; Data'!P232</f>
        <v>188404.057350432</v>
      </c>
      <c r="Q98" s="39" t="n">
        <f aca="false">M98-N98-O98-P98</f>
        <v>2080708.6308073</v>
      </c>
      <c r="R98" s="39" t="n">
        <f aca="false">'Assumptions &amp; Data'!L232*'Assumptions &amp; Data'!M232</f>
        <v>673824</v>
      </c>
      <c r="S98" s="37" t="n">
        <f aca="false">'Assumptions &amp; Data'!Q232</f>
        <v>626500</v>
      </c>
      <c r="T98" s="37" t="n">
        <f aca="false">'Assumptions &amp; Data'!R232</f>
        <v>147793</v>
      </c>
      <c r="U98" s="37" t="n">
        <f aca="false">'Assumptions &amp; Data'!S232</f>
        <v>214102</v>
      </c>
      <c r="V98" s="39" t="n">
        <f aca="false">Q98-R98-S98-T98-U98</f>
        <v>418489.630807296</v>
      </c>
      <c r="W98" s="39" t="n">
        <f aca="false">DAY(EOMONTH(C98,0))</f>
        <v>31</v>
      </c>
      <c r="X98" s="40" t="n">
        <f aca="false">E98/W98</f>
        <v>1000.09677419355</v>
      </c>
      <c r="Y98" s="39" t="n">
        <f aca="false">R98+S98+T98+U98</f>
        <v>1662219</v>
      </c>
    </row>
    <row r="99" customFormat="false" ht="15" hidden="false" customHeight="false" outlineLevel="0" collapsed="false">
      <c r="A99" s="37" t="str">
        <f aca="false">'Assumptions &amp; Data'!A233</f>
        <v>SM0029</v>
      </c>
      <c r="B99" s="37" t="str">
        <f aca="false">'Assumptions &amp; Data'!B233</f>
        <v>DS003</v>
      </c>
      <c r="C99" s="38" t="n">
        <f aca="false">'Assumptions &amp; Data'!C233</f>
        <v>46054</v>
      </c>
      <c r="D99" s="39" t="str">
        <f aca="false">INDEX('Assumptions &amp; Data'!$B$142:$B$201,MATCH(B99,'Assumptions &amp; Data'!$A$142:$A$201,0))</f>
        <v>Delhi NCR</v>
      </c>
      <c r="E99" s="37" t="n">
        <f aca="false">'Assumptions &amp; Data'!D233</f>
        <v>32009</v>
      </c>
      <c r="F99" s="39" t="n">
        <f aca="false">E99*'Assumptions &amp; Data'!E233</f>
        <v>20911479.7</v>
      </c>
      <c r="G99" s="39" t="n">
        <f aca="false">F99*'Assumptions &amp; Data'!F233</f>
        <v>1145949.08756</v>
      </c>
      <c r="H99" s="39" t="n">
        <f aca="false">F99-G99</f>
        <v>19765530.61244</v>
      </c>
      <c r="I99" s="39" t="n">
        <f aca="false">H99*'Assumptions &amp; Data'!G233</f>
        <v>3336421.56737987</v>
      </c>
      <c r="J99" s="39" t="n">
        <f aca="false">E99*'Assumptions &amp; Data'!H233</f>
        <v>414196.46</v>
      </c>
      <c r="K99" s="39" t="n">
        <f aca="false">H99*'Assumptions &amp; Data'!I233</f>
        <v>589012.812250712</v>
      </c>
      <c r="L99" s="39" t="n">
        <f aca="false">H99*'Assumptions &amp; Data'!J233</f>
        <v>428912.014289948</v>
      </c>
      <c r="M99" s="39" t="n">
        <f aca="false">I99+J99+K99-L99</f>
        <v>3910718.82534064</v>
      </c>
      <c r="N99" s="39" t="n">
        <f aca="false">E99*'Assumptions &amp; Data'!N233</f>
        <v>1251871.99</v>
      </c>
      <c r="O99" s="39" t="n">
        <f aca="false">E99*'Assumptions &amp; Data'!O233</f>
        <v>326171.71</v>
      </c>
      <c r="P99" s="39" t="n">
        <f aca="false">H99*'Assumptions &amp; Data'!P233</f>
        <v>189749.093879424</v>
      </c>
      <c r="Q99" s="39" t="n">
        <f aca="false">M99-N99-O99-P99</f>
        <v>2142926.03146121</v>
      </c>
      <c r="R99" s="39" t="n">
        <f aca="false">'Assumptions &amp; Data'!L233*'Assumptions &amp; Data'!M233</f>
        <v>779812</v>
      </c>
      <c r="S99" s="37" t="n">
        <f aca="false">'Assumptions &amp; Data'!Q233</f>
        <v>626500</v>
      </c>
      <c r="T99" s="37" t="n">
        <f aca="false">'Assumptions &amp; Data'!R233</f>
        <v>146554</v>
      </c>
      <c r="U99" s="37" t="n">
        <f aca="false">'Assumptions &amp; Data'!S233</f>
        <v>234221</v>
      </c>
      <c r="V99" s="39" t="n">
        <f aca="false">Q99-R99-S99-T99-U99</f>
        <v>355839.031461211</v>
      </c>
      <c r="W99" s="39" t="n">
        <f aca="false">DAY(EOMONTH(C99,0))</f>
        <v>28</v>
      </c>
      <c r="X99" s="40" t="n">
        <f aca="false">E99/W99</f>
        <v>1143.17857142857</v>
      </c>
      <c r="Y99" s="39" t="n">
        <f aca="false">R99+S99+T99+U99</f>
        <v>1787087</v>
      </c>
    </row>
    <row r="100" customFormat="false" ht="15" hidden="false" customHeight="false" outlineLevel="0" collapsed="false">
      <c r="A100" s="37" t="str">
        <f aca="false">'Assumptions &amp; Data'!A234</f>
        <v>SM0030</v>
      </c>
      <c r="B100" s="37" t="str">
        <f aca="false">'Assumptions &amp; Data'!B234</f>
        <v>DS003</v>
      </c>
      <c r="C100" s="38" t="n">
        <f aca="false">'Assumptions &amp; Data'!C234</f>
        <v>46082</v>
      </c>
      <c r="D100" s="39" t="str">
        <f aca="false">INDEX('Assumptions &amp; Data'!$B$142:$B$201,MATCH(B100,'Assumptions &amp; Data'!$A$142:$A$201,0))</f>
        <v>Delhi NCR</v>
      </c>
      <c r="E100" s="37" t="n">
        <f aca="false">'Assumptions &amp; Data'!D234</f>
        <v>34470</v>
      </c>
      <c r="F100" s="39" t="n">
        <f aca="false">E100*'Assumptions &amp; Data'!E234</f>
        <v>22126293</v>
      </c>
      <c r="G100" s="39" t="n">
        <f aca="false">F100*'Assumptions &amp; Data'!F234</f>
        <v>1228009.2615</v>
      </c>
      <c r="H100" s="39" t="n">
        <f aca="false">F100-G100</f>
        <v>20898283.7385</v>
      </c>
      <c r="I100" s="39" t="n">
        <f aca="false">H100*'Assumptions &amp; Data'!G234</f>
        <v>3483743.89920795</v>
      </c>
      <c r="J100" s="39" t="n">
        <f aca="false">E100*'Assumptions &amp; Data'!H234</f>
        <v>407435.4</v>
      </c>
      <c r="K100" s="39" t="n">
        <f aca="false">H100*'Assumptions &amp; Data'!I234</f>
        <v>622768.8554073</v>
      </c>
      <c r="L100" s="39" t="n">
        <f aca="false">H100*'Assumptions &amp; Data'!J234</f>
        <v>447223.2720039</v>
      </c>
      <c r="M100" s="39" t="n">
        <f aca="false">I100+J100+K100-L100</f>
        <v>4066724.88261135</v>
      </c>
      <c r="N100" s="39" t="n">
        <f aca="false">E100*'Assumptions &amp; Data'!N234</f>
        <v>1302621.3</v>
      </c>
      <c r="O100" s="39" t="n">
        <f aca="false">E100*'Assumptions &amp; Data'!O234</f>
        <v>347457.6</v>
      </c>
      <c r="P100" s="39" t="n">
        <f aca="false">H100*'Assumptions &amp; Data'!P234</f>
        <v>206893.00901115</v>
      </c>
      <c r="Q100" s="39" t="n">
        <f aca="false">M100-N100-O100-P100</f>
        <v>2209752.9736002</v>
      </c>
      <c r="R100" s="39" t="n">
        <f aca="false">'Assumptions &amp; Data'!L234*'Assumptions &amp; Data'!M234</f>
        <v>738325</v>
      </c>
      <c r="S100" s="37" t="n">
        <f aca="false">'Assumptions &amp; Data'!Q234</f>
        <v>626500</v>
      </c>
      <c r="T100" s="37" t="n">
        <f aca="false">'Assumptions &amp; Data'!R234</f>
        <v>154475</v>
      </c>
      <c r="U100" s="37" t="n">
        <f aca="false">'Assumptions &amp; Data'!S234</f>
        <v>237049</v>
      </c>
      <c r="V100" s="39" t="n">
        <f aca="false">Q100-R100-S100-T100-U100</f>
        <v>453403.973600199</v>
      </c>
      <c r="W100" s="39" t="n">
        <f aca="false">DAY(EOMONTH(C100,0))</f>
        <v>31</v>
      </c>
      <c r="X100" s="40" t="n">
        <f aca="false">E100/W100</f>
        <v>1111.93548387097</v>
      </c>
      <c r="Y100" s="39" t="n">
        <f aca="false">R100+S100+T100+U100</f>
        <v>1756349</v>
      </c>
    </row>
    <row r="101" customFormat="false" ht="15" hidden="false" customHeight="false" outlineLevel="0" collapsed="false">
      <c r="A101" s="37" t="str">
        <f aca="false">'Assumptions &amp; Data'!A235</f>
        <v>SM0031</v>
      </c>
      <c r="B101" s="37" t="str">
        <f aca="false">'Assumptions &amp; Data'!B235</f>
        <v>DS003</v>
      </c>
      <c r="C101" s="38" t="n">
        <f aca="false">'Assumptions &amp; Data'!C235</f>
        <v>46113</v>
      </c>
      <c r="D101" s="39" t="str">
        <f aca="false">INDEX('Assumptions &amp; Data'!$B$142:$B$201,MATCH(B101,'Assumptions &amp; Data'!$A$142:$A$201,0))</f>
        <v>Delhi NCR</v>
      </c>
      <c r="E101" s="37" t="n">
        <f aca="false">'Assumptions &amp; Data'!D235</f>
        <v>34300</v>
      </c>
      <c r="F101" s="39" t="n">
        <f aca="false">E101*'Assumptions &amp; Data'!E235</f>
        <v>21780500</v>
      </c>
      <c r="G101" s="39" t="n">
        <f aca="false">F101*'Assumptions &amp; Data'!F235</f>
        <v>1169612.85</v>
      </c>
      <c r="H101" s="39" t="n">
        <f aca="false">F101-G101</f>
        <v>20610887.15</v>
      </c>
      <c r="I101" s="39" t="n">
        <f aca="false">H101*'Assumptions &amp; Data'!G235</f>
        <v>3514156.259075</v>
      </c>
      <c r="J101" s="39" t="n">
        <f aca="false">E101*'Assumptions &amp; Data'!H235</f>
        <v>405083</v>
      </c>
      <c r="K101" s="39" t="n">
        <f aca="false">H101*'Assumptions &amp; Data'!I235</f>
        <v>603898.993495</v>
      </c>
      <c r="L101" s="39" t="n">
        <f aca="false">H101*'Assumptions &amp; Data'!J235</f>
        <v>457561.69473</v>
      </c>
      <c r="M101" s="39" t="n">
        <f aca="false">I101+J101+K101-L101</f>
        <v>4065576.55784</v>
      </c>
      <c r="N101" s="39" t="n">
        <f aca="false">E101*'Assumptions &amp; Data'!N235</f>
        <v>1296197</v>
      </c>
      <c r="O101" s="39" t="n">
        <f aca="false">E101*'Assumptions &amp; Data'!O235</f>
        <v>366324</v>
      </c>
      <c r="P101" s="39" t="n">
        <f aca="false">H101*'Assumptions &amp; Data'!P235</f>
        <v>212292.137645</v>
      </c>
      <c r="Q101" s="39" t="n">
        <f aca="false">M101-N101-O101-P101</f>
        <v>2190763.420195</v>
      </c>
      <c r="R101" s="39" t="n">
        <f aca="false">'Assumptions &amp; Data'!L235*'Assumptions &amp; Data'!M235</f>
        <v>781255</v>
      </c>
      <c r="S101" s="37" t="n">
        <f aca="false">'Assumptions &amp; Data'!Q235</f>
        <v>626500</v>
      </c>
      <c r="T101" s="37" t="n">
        <f aca="false">'Assumptions &amp; Data'!R235</f>
        <v>154269</v>
      </c>
      <c r="U101" s="37" t="n">
        <f aca="false">'Assumptions &amp; Data'!S235</f>
        <v>201191</v>
      </c>
      <c r="V101" s="39" t="n">
        <f aca="false">Q101-R101-S101-T101-U101</f>
        <v>427548.420194999</v>
      </c>
      <c r="W101" s="39" t="n">
        <f aca="false">DAY(EOMONTH(C101,0))</f>
        <v>30</v>
      </c>
      <c r="X101" s="40" t="n">
        <f aca="false">E101/W101</f>
        <v>1143.33333333333</v>
      </c>
      <c r="Y101" s="39" t="n">
        <f aca="false">R101+S101+T101+U101</f>
        <v>1763215</v>
      </c>
    </row>
    <row r="102" customFormat="false" ht="15" hidden="false" customHeight="false" outlineLevel="0" collapsed="false">
      <c r="A102" s="37" t="str">
        <f aca="false">'Assumptions &amp; Data'!A236</f>
        <v>SM0032</v>
      </c>
      <c r="B102" s="37" t="str">
        <f aca="false">'Assumptions &amp; Data'!B236</f>
        <v>DS003</v>
      </c>
      <c r="C102" s="38" t="n">
        <f aca="false">'Assumptions &amp; Data'!C236</f>
        <v>46143</v>
      </c>
      <c r="D102" s="39" t="str">
        <f aca="false">INDEX('Assumptions &amp; Data'!$B$142:$B$201,MATCH(B102,'Assumptions &amp; Data'!$A$142:$A$201,0))</f>
        <v>Delhi NCR</v>
      </c>
      <c r="E102" s="37" t="n">
        <f aca="false">'Assumptions &amp; Data'!D236</f>
        <v>41091</v>
      </c>
      <c r="F102" s="39" t="n">
        <f aca="false">E102*'Assumptions &amp; Data'!E236</f>
        <v>26363985.6</v>
      </c>
      <c r="G102" s="39" t="n">
        <f aca="false">F102*'Assumptions &amp; Data'!F236</f>
        <v>1550202.35328</v>
      </c>
      <c r="H102" s="39" t="n">
        <f aca="false">F102-G102</f>
        <v>24813783.24672</v>
      </c>
      <c r="I102" s="39" t="n">
        <f aca="false">H102*'Assumptions &amp; Data'!G236</f>
        <v>4243156.93518912</v>
      </c>
      <c r="J102" s="39" t="n">
        <f aca="false">E102*'Assumptions &amp; Data'!H236</f>
        <v>521033.88</v>
      </c>
      <c r="K102" s="39" t="n">
        <f aca="false">H102*'Assumptions &amp; Data'!I236</f>
        <v>781634.17227168</v>
      </c>
      <c r="L102" s="39" t="n">
        <f aca="false">H102*'Assumptions &amp; Data'!J236</f>
        <v>555828.744726528</v>
      </c>
      <c r="M102" s="39" t="n">
        <f aca="false">I102+J102+K102-L102</f>
        <v>4989996.24273427</v>
      </c>
      <c r="N102" s="39" t="n">
        <f aca="false">E102*'Assumptions &amp; Data'!N236</f>
        <v>1561868.91</v>
      </c>
      <c r="O102" s="39" t="n">
        <f aca="false">E102*'Assumptions &amp; Data'!O236</f>
        <v>415430.01</v>
      </c>
      <c r="P102" s="39" t="n">
        <f aca="false">H102*'Assumptions &amp; Data'!P236</f>
        <v>240693.697493184</v>
      </c>
      <c r="Q102" s="39" t="n">
        <f aca="false">M102-N102-O102-P102</f>
        <v>2772003.62524109</v>
      </c>
      <c r="R102" s="39" t="n">
        <f aca="false">'Assumptions &amp; Data'!L236*'Assumptions &amp; Data'!M236</f>
        <v>908762</v>
      </c>
      <c r="S102" s="37" t="n">
        <f aca="false">'Assumptions &amp; Data'!Q236</f>
        <v>626500</v>
      </c>
      <c r="T102" s="37" t="n">
        <f aca="false">'Assumptions &amp; Data'!R236</f>
        <v>146759</v>
      </c>
      <c r="U102" s="37" t="n">
        <f aca="false">'Assumptions &amp; Data'!S236</f>
        <v>264069</v>
      </c>
      <c r="V102" s="39" t="n">
        <f aca="false">Q102-R102-S102-T102-U102</f>
        <v>825913.625241088</v>
      </c>
      <c r="W102" s="39" t="n">
        <f aca="false">DAY(EOMONTH(C102,0))</f>
        <v>31</v>
      </c>
      <c r="X102" s="40" t="n">
        <f aca="false">E102/W102</f>
        <v>1325.51612903226</v>
      </c>
      <c r="Y102" s="39" t="n">
        <f aca="false">R102+S102+T102+U102</f>
        <v>1946090</v>
      </c>
    </row>
    <row r="103" customFormat="false" ht="15" hidden="false" customHeight="false" outlineLevel="0" collapsed="false">
      <c r="A103" s="37" t="str">
        <f aca="false">'Assumptions &amp; Data'!A237</f>
        <v>SM0033</v>
      </c>
      <c r="B103" s="37" t="str">
        <f aca="false">'Assumptions &amp; Data'!B237</f>
        <v>DS003</v>
      </c>
      <c r="C103" s="38" t="n">
        <f aca="false">'Assumptions &amp; Data'!C237</f>
        <v>46174</v>
      </c>
      <c r="D103" s="39" t="str">
        <f aca="false">INDEX('Assumptions &amp; Data'!$B$142:$B$201,MATCH(B103,'Assumptions &amp; Data'!$A$142:$A$201,0))</f>
        <v>Delhi NCR</v>
      </c>
      <c r="E103" s="37" t="n">
        <f aca="false">'Assumptions &amp; Data'!D237</f>
        <v>38662</v>
      </c>
      <c r="F103" s="39" t="n">
        <f aca="false">E103*'Assumptions &amp; Data'!E237</f>
        <v>24925391.4</v>
      </c>
      <c r="G103" s="39" t="n">
        <f aca="false">F103*'Assumptions &amp; Data'!F237</f>
        <v>1343478.59646</v>
      </c>
      <c r="H103" s="39" t="n">
        <f aca="false">F103-G103</f>
        <v>23581912.80354</v>
      </c>
      <c r="I103" s="39" t="n">
        <f aca="false">H103*'Assumptions &amp; Data'!G237</f>
        <v>3947612.2033126</v>
      </c>
      <c r="J103" s="39" t="n">
        <f aca="false">E103*'Assumptions &amp; Data'!H237</f>
        <v>494486.98</v>
      </c>
      <c r="K103" s="39" t="n">
        <f aca="false">H103*'Assumptions &amp; Data'!I237</f>
        <v>695666.42770443</v>
      </c>
      <c r="L103" s="39" t="n">
        <f aca="false">H103*'Assumptions &amp; Data'!J237</f>
        <v>521160.272958234</v>
      </c>
      <c r="M103" s="39" t="n">
        <f aca="false">I103+J103+K103-L103</f>
        <v>4616605.33805879</v>
      </c>
      <c r="N103" s="39" t="n">
        <f aca="false">E103*'Assumptions &amp; Data'!N237</f>
        <v>1460650.36</v>
      </c>
      <c r="O103" s="39" t="n">
        <f aca="false">E103*'Assumptions &amp; Data'!O237</f>
        <v>400151.7</v>
      </c>
      <c r="P103" s="39" t="n">
        <f aca="false">H103*'Assumptions &amp; Data'!P237</f>
        <v>233460.936755046</v>
      </c>
      <c r="Q103" s="39" t="n">
        <f aca="false">M103-N103-O103-P103</f>
        <v>2522342.34130375</v>
      </c>
      <c r="R103" s="39" t="n">
        <f aca="false">'Assumptions &amp; Data'!L237*'Assumptions &amp; Data'!M237</f>
        <v>867273</v>
      </c>
      <c r="S103" s="37" t="n">
        <f aca="false">'Assumptions &amp; Data'!Q237</f>
        <v>626500</v>
      </c>
      <c r="T103" s="37" t="n">
        <f aca="false">'Assumptions &amp; Data'!R237</f>
        <v>150969</v>
      </c>
      <c r="U103" s="37" t="n">
        <f aca="false">'Assumptions &amp; Data'!S237</f>
        <v>206736</v>
      </c>
      <c r="V103" s="39" t="n">
        <f aca="false">Q103-R103-S103-T103-U103</f>
        <v>670864.341303746</v>
      </c>
      <c r="W103" s="39" t="n">
        <f aca="false">DAY(EOMONTH(C103,0))</f>
        <v>30</v>
      </c>
      <c r="X103" s="40" t="n">
        <f aca="false">E103/W103</f>
        <v>1288.73333333333</v>
      </c>
      <c r="Y103" s="39" t="n">
        <f aca="false">R103+S103+T103+U103</f>
        <v>1851478</v>
      </c>
    </row>
    <row r="104" customFormat="false" ht="15" hidden="false" customHeight="false" outlineLevel="0" collapsed="false">
      <c r="A104" s="37" t="str">
        <f aca="false">'Assumptions &amp; Data'!A238</f>
        <v>SM0034</v>
      </c>
      <c r="B104" s="37" t="str">
        <f aca="false">'Assumptions &amp; Data'!B238</f>
        <v>DS003</v>
      </c>
      <c r="C104" s="38" t="n">
        <f aca="false">'Assumptions &amp; Data'!C238</f>
        <v>46204</v>
      </c>
      <c r="D104" s="39" t="str">
        <f aca="false">INDEX('Assumptions &amp; Data'!$B$142:$B$201,MATCH(B104,'Assumptions &amp; Data'!$A$142:$A$201,0))</f>
        <v>Delhi NCR</v>
      </c>
      <c r="E104" s="37" t="n">
        <f aca="false">'Assumptions &amp; Data'!D238</f>
        <v>35221</v>
      </c>
      <c r="F104" s="39" t="n">
        <f aca="false">E104*'Assumptions &amp; Data'!E238</f>
        <v>22918304.7</v>
      </c>
      <c r="G104" s="39" t="n">
        <f aca="false">F104*'Assumptions &amp; Data'!F238</f>
        <v>1285716.89367</v>
      </c>
      <c r="H104" s="39" t="n">
        <f aca="false">F104-G104</f>
        <v>21632587.80633</v>
      </c>
      <c r="I104" s="39" t="n">
        <f aca="false">H104*'Assumptions &amp; Data'!G238</f>
        <v>3666723.63317294</v>
      </c>
      <c r="J104" s="39" t="n">
        <f aca="false">E104*'Assumptions &amp; Data'!H238</f>
        <v>457520.79</v>
      </c>
      <c r="K104" s="39" t="n">
        <f aca="false">H104*'Assumptions &amp; Data'!I238</f>
        <v>610038.976138506</v>
      </c>
      <c r="L104" s="39" t="n">
        <f aca="false">H104*'Assumptions &amp; Data'!J238</f>
        <v>467263.896616728</v>
      </c>
      <c r="M104" s="39" t="n">
        <f aca="false">I104+J104+K104-L104</f>
        <v>4267019.50269471</v>
      </c>
      <c r="N104" s="39" t="n">
        <f aca="false">E104*'Assumptions &amp; Data'!N238</f>
        <v>1327479.49</v>
      </c>
      <c r="O104" s="39" t="n">
        <f aca="false">E104*'Assumptions &amp; Data'!O238</f>
        <v>376864.7</v>
      </c>
      <c r="P104" s="39" t="n">
        <f aca="false">H104*'Assumptions &amp; Data'!P238</f>
        <v>214162.619282667</v>
      </c>
      <c r="Q104" s="39" t="n">
        <f aca="false">M104-N104-O104-P104</f>
        <v>2348512.69341205</v>
      </c>
      <c r="R104" s="39" t="n">
        <f aca="false">'Assumptions &amp; Data'!L238*'Assumptions &amp; Data'!M238</f>
        <v>762192</v>
      </c>
      <c r="S104" s="37" t="n">
        <f aca="false">'Assumptions &amp; Data'!Q238</f>
        <v>626500</v>
      </c>
      <c r="T104" s="37" t="n">
        <f aca="false">'Assumptions &amp; Data'!R238</f>
        <v>156523</v>
      </c>
      <c r="U104" s="37" t="n">
        <f aca="false">'Assumptions &amp; Data'!S238</f>
        <v>186148</v>
      </c>
      <c r="V104" s="39" t="n">
        <f aca="false">Q104-R104-S104-T104-U104</f>
        <v>617149.693412046</v>
      </c>
      <c r="W104" s="39" t="n">
        <f aca="false">DAY(EOMONTH(C104,0))</f>
        <v>31</v>
      </c>
      <c r="X104" s="40" t="n">
        <f aca="false">E104/W104</f>
        <v>1136.16129032258</v>
      </c>
      <c r="Y104" s="39" t="n">
        <f aca="false">R104+S104+T104+U104</f>
        <v>1731363</v>
      </c>
    </row>
    <row r="105" customFormat="false" ht="15" hidden="false" customHeight="false" outlineLevel="0" collapsed="false">
      <c r="A105" s="37" t="str">
        <f aca="false">'Assumptions &amp; Data'!A239</f>
        <v>SM0035</v>
      </c>
      <c r="B105" s="37" t="str">
        <f aca="false">'Assumptions &amp; Data'!B239</f>
        <v>DS003</v>
      </c>
      <c r="C105" s="38" t="n">
        <f aca="false">'Assumptions &amp; Data'!C239</f>
        <v>46235</v>
      </c>
      <c r="D105" s="39" t="str">
        <f aca="false">INDEX('Assumptions &amp; Data'!$B$142:$B$201,MATCH(B105,'Assumptions &amp; Data'!$A$142:$A$201,0))</f>
        <v>Delhi NCR</v>
      </c>
      <c r="E105" s="37" t="n">
        <f aca="false">'Assumptions &amp; Data'!D239</f>
        <v>39351</v>
      </c>
      <c r="F105" s="39" t="n">
        <f aca="false">E105*'Assumptions &amp; Data'!E239</f>
        <v>25318433.4</v>
      </c>
      <c r="G105" s="39" t="n">
        <f aca="false">F105*'Assumptions &amp; Data'!F239</f>
        <v>1291240.1034</v>
      </c>
      <c r="H105" s="39" t="n">
        <f aca="false">F105-G105</f>
        <v>24027193.2966</v>
      </c>
      <c r="I105" s="39" t="n">
        <f aca="false">H105*'Assumptions &amp; Data'!G239</f>
        <v>3983708.64857628</v>
      </c>
      <c r="J105" s="39" t="n">
        <f aca="false">E105*'Assumptions &amp; Data'!H239</f>
        <v>487165.38</v>
      </c>
      <c r="K105" s="39" t="n">
        <f aca="false">H105*'Assumptions &amp; Data'!I239</f>
        <v>728023.95688698</v>
      </c>
      <c r="L105" s="39" t="n">
        <f aca="false">H105*'Assumptions &amp; Data'!J239</f>
        <v>516584.6558769</v>
      </c>
      <c r="M105" s="39" t="n">
        <f aca="false">I105+J105+K105-L105</f>
        <v>4682313.32958636</v>
      </c>
      <c r="N105" s="39" t="n">
        <f aca="false">E105*'Assumptions &amp; Data'!N239</f>
        <v>1474481.97</v>
      </c>
      <c r="O105" s="39" t="n">
        <f aca="false">E105*'Assumptions &amp; Data'!O239</f>
        <v>400199.67</v>
      </c>
      <c r="P105" s="39" t="n">
        <f aca="false">H105*'Assumptions &amp; Data'!P239</f>
        <v>247480.09095498</v>
      </c>
      <c r="Q105" s="39" t="n">
        <f aca="false">M105-N105-O105-P105</f>
        <v>2560151.59863138</v>
      </c>
      <c r="R105" s="39" t="n">
        <f aca="false">'Assumptions &amp; Data'!L239*'Assumptions &amp; Data'!M239</f>
        <v>911213</v>
      </c>
      <c r="S105" s="37" t="n">
        <f aca="false">'Assumptions &amp; Data'!Q239</f>
        <v>626500</v>
      </c>
      <c r="T105" s="37" t="n">
        <f aca="false">'Assumptions &amp; Data'!R239</f>
        <v>154569</v>
      </c>
      <c r="U105" s="37" t="n">
        <f aca="false">'Assumptions &amp; Data'!S239</f>
        <v>191343</v>
      </c>
      <c r="V105" s="39" t="n">
        <f aca="false">Q105-R105-S105-T105-U105</f>
        <v>676526.59863138</v>
      </c>
      <c r="W105" s="39" t="n">
        <f aca="false">DAY(EOMONTH(C105,0))</f>
        <v>31</v>
      </c>
      <c r="X105" s="40" t="n">
        <f aca="false">E105/W105</f>
        <v>1269.38709677419</v>
      </c>
      <c r="Y105" s="39" t="n">
        <f aca="false">R105+S105+T105+U105</f>
        <v>1883625</v>
      </c>
    </row>
    <row r="106" customFormat="false" ht="15" hidden="false" customHeight="false" outlineLevel="0" collapsed="false">
      <c r="A106" s="37" t="str">
        <f aca="false">'Assumptions &amp; Data'!A240</f>
        <v>SM0036</v>
      </c>
      <c r="B106" s="37" t="str">
        <f aca="false">'Assumptions &amp; Data'!B240</f>
        <v>DS003</v>
      </c>
      <c r="C106" s="38" t="n">
        <f aca="false">'Assumptions &amp; Data'!C240</f>
        <v>46266</v>
      </c>
      <c r="D106" s="39" t="str">
        <f aca="false">INDEX('Assumptions &amp; Data'!$B$142:$B$201,MATCH(B106,'Assumptions &amp; Data'!$A$142:$A$201,0))</f>
        <v>Delhi NCR</v>
      </c>
      <c r="E106" s="37" t="n">
        <f aca="false">'Assumptions &amp; Data'!D240</f>
        <v>39550</v>
      </c>
      <c r="F106" s="39" t="n">
        <f aca="false">E106*'Assumptions &amp; Data'!E240</f>
        <v>26340300</v>
      </c>
      <c r="G106" s="39" t="n">
        <f aca="false">F106*'Assumptions &amp; Data'!F240</f>
        <v>1406572.02</v>
      </c>
      <c r="H106" s="39" t="n">
        <f aca="false">F106-G106</f>
        <v>24933727.98</v>
      </c>
      <c r="I106" s="39" t="n">
        <f aca="false">H106*'Assumptions &amp; Data'!G240</f>
        <v>4273640.975772</v>
      </c>
      <c r="J106" s="39" t="n">
        <f aca="false">E106*'Assumptions &amp; Data'!H240</f>
        <v>488442.5</v>
      </c>
      <c r="K106" s="39" t="n">
        <f aca="false">H106*'Assumptions &amp; Data'!I240</f>
        <v>817826.277744</v>
      </c>
      <c r="L106" s="39" t="n">
        <f aca="false">H106*'Assumptions &amp; Data'!J240</f>
        <v>531088.405974</v>
      </c>
      <c r="M106" s="39" t="n">
        <f aca="false">I106+J106+K106-L106</f>
        <v>5048821.347542</v>
      </c>
      <c r="N106" s="39" t="n">
        <f aca="false">E106*'Assumptions &amp; Data'!N240</f>
        <v>1506064</v>
      </c>
      <c r="O106" s="39" t="n">
        <f aca="false">E106*'Assumptions &amp; Data'!O240</f>
        <v>407365</v>
      </c>
      <c r="P106" s="39" t="n">
        <f aca="false">H106*'Assumptions &amp; Data'!P240</f>
        <v>256817.398194</v>
      </c>
      <c r="Q106" s="39" t="n">
        <f aca="false">M106-N106-O106-P106</f>
        <v>2878574.949348</v>
      </c>
      <c r="R106" s="39" t="n">
        <f aca="false">'Assumptions &amp; Data'!L240*'Assumptions &amp; Data'!M240</f>
        <v>869610</v>
      </c>
      <c r="S106" s="37" t="n">
        <f aca="false">'Assumptions &amp; Data'!Q240</f>
        <v>626500</v>
      </c>
      <c r="T106" s="37" t="n">
        <f aca="false">'Assumptions &amp; Data'!R240</f>
        <v>147812</v>
      </c>
      <c r="U106" s="37" t="n">
        <f aca="false">'Assumptions &amp; Data'!S240</f>
        <v>222056</v>
      </c>
      <c r="V106" s="39" t="n">
        <f aca="false">Q106-R106-S106-T106-U106</f>
        <v>1012596.949348</v>
      </c>
      <c r="W106" s="39" t="n">
        <f aca="false">DAY(EOMONTH(C106,0))</f>
        <v>30</v>
      </c>
      <c r="X106" s="40" t="n">
        <f aca="false">E106/W106</f>
        <v>1318.33333333333</v>
      </c>
      <c r="Y106" s="39" t="n">
        <f aca="false">R106+S106+T106+U106</f>
        <v>1865978</v>
      </c>
    </row>
    <row r="107" customFormat="false" ht="15" hidden="false" customHeight="false" outlineLevel="0" collapsed="false">
      <c r="A107" s="37" t="str">
        <f aca="false">'Assumptions &amp; Data'!A241</f>
        <v>SM0037</v>
      </c>
      <c r="B107" s="37" t="str">
        <f aca="false">'Assumptions &amp; Data'!B241</f>
        <v>DS004</v>
      </c>
      <c r="C107" s="38" t="n">
        <f aca="false">'Assumptions &amp; Data'!C241</f>
        <v>45931</v>
      </c>
      <c r="D107" s="39" t="str">
        <f aca="false">INDEX('Assumptions &amp; Data'!$B$142:$B$201,MATCH(B107,'Assumptions &amp; Data'!$A$142:$A$201,0))</f>
        <v>Delhi NCR</v>
      </c>
      <c r="E107" s="37" t="n">
        <f aca="false">'Assumptions &amp; Data'!D241</f>
        <v>18556</v>
      </c>
      <c r="F107" s="39" t="n">
        <f aca="false">E107*'Assumptions &amp; Data'!E241</f>
        <v>11744092.4</v>
      </c>
      <c r="G107" s="39" t="n">
        <f aca="false">F107*'Assumptions &amp; Data'!F241</f>
        <v>799772.69244</v>
      </c>
      <c r="H107" s="39" t="n">
        <f aca="false">F107-G107</f>
        <v>10944319.70756</v>
      </c>
      <c r="I107" s="39" t="n">
        <f aca="false">H107*'Assumptions &amp; Data'!G241</f>
        <v>1817851.50342572</v>
      </c>
      <c r="J107" s="39" t="n">
        <f aca="false">E107*'Assumptions &amp; Data'!H241</f>
        <v>225084.28</v>
      </c>
      <c r="K107" s="39" t="n">
        <f aca="false">H107*'Assumptions &amp; Data'!I241</f>
        <v>262663.67298144</v>
      </c>
      <c r="L107" s="39" t="n">
        <f aca="false">H107*'Assumptions &amp; Data'!J241</f>
        <v>262663.67298144</v>
      </c>
      <c r="M107" s="39" t="n">
        <f aca="false">I107+J107+K107-L107</f>
        <v>2042935.78342572</v>
      </c>
      <c r="N107" s="39" t="n">
        <f aca="false">E107*'Assumptions &amp; Data'!N241</f>
        <v>711437.04</v>
      </c>
      <c r="O107" s="39" t="n">
        <f aca="false">E107*'Assumptions &amp; Data'!O241</f>
        <v>189085.64</v>
      </c>
      <c r="P107" s="39" t="n">
        <f aca="false">H107*'Assumptions &amp; Data'!P241</f>
        <v>109443.1970756</v>
      </c>
      <c r="Q107" s="39" t="n">
        <f aca="false">M107-N107-O107-P107</f>
        <v>1032969.90635012</v>
      </c>
      <c r="R107" s="39" t="n">
        <f aca="false">'Assumptions &amp; Data'!L241*'Assumptions &amp; Data'!M241</f>
        <v>336000</v>
      </c>
      <c r="S107" s="37" t="n">
        <f aca="false">'Assumptions &amp; Data'!Q241</f>
        <v>336000</v>
      </c>
      <c r="T107" s="37" t="n">
        <f aca="false">'Assumptions &amp; Data'!R241</f>
        <v>150666</v>
      </c>
      <c r="U107" s="37" t="n">
        <f aca="false">'Assumptions &amp; Data'!S241</f>
        <v>242125</v>
      </c>
      <c r="V107" s="39" t="n">
        <f aca="false">Q107-R107-S107-T107-U107</f>
        <v>-31821.0936498838</v>
      </c>
      <c r="W107" s="39" t="n">
        <f aca="false">DAY(EOMONTH(C107,0))</f>
        <v>31</v>
      </c>
      <c r="X107" s="40" t="n">
        <f aca="false">E107/W107</f>
        <v>598.58064516129</v>
      </c>
      <c r="Y107" s="39" t="n">
        <f aca="false">R107+S107+T107+U107</f>
        <v>1064791</v>
      </c>
    </row>
    <row r="108" customFormat="false" ht="15" hidden="false" customHeight="false" outlineLevel="0" collapsed="false">
      <c r="A108" s="37" t="str">
        <f aca="false">'Assumptions &amp; Data'!A242</f>
        <v>SM0038</v>
      </c>
      <c r="B108" s="37" t="str">
        <f aca="false">'Assumptions &amp; Data'!B242</f>
        <v>DS004</v>
      </c>
      <c r="C108" s="38" t="n">
        <f aca="false">'Assumptions &amp; Data'!C242</f>
        <v>45962</v>
      </c>
      <c r="D108" s="39" t="str">
        <f aca="false">INDEX('Assumptions &amp; Data'!$B$142:$B$201,MATCH(B108,'Assumptions &amp; Data'!$A$142:$A$201,0))</f>
        <v>Delhi NCR</v>
      </c>
      <c r="E108" s="37" t="n">
        <f aca="false">'Assumptions &amp; Data'!D242</f>
        <v>20699</v>
      </c>
      <c r="F108" s="39" t="n">
        <f aca="false">E108*'Assumptions &amp; Data'!E242</f>
        <v>13073488.4</v>
      </c>
      <c r="G108" s="39" t="n">
        <f aca="false">F108*'Assumptions &amp; Data'!F242</f>
        <v>857620.83904</v>
      </c>
      <c r="H108" s="39" t="n">
        <f aca="false">F108-G108</f>
        <v>12215867.56096</v>
      </c>
      <c r="I108" s="39" t="n">
        <f aca="false">H108*'Assumptions &amp; Data'!G242</f>
        <v>2054708.92375347</v>
      </c>
      <c r="J108" s="39" t="n">
        <f aca="false">E108*'Assumptions &amp; Data'!H242</f>
        <v>268673.02</v>
      </c>
      <c r="K108" s="39" t="n">
        <f aca="false">H108*'Assumptions &amp; Data'!I242</f>
        <v>317612.55658496</v>
      </c>
      <c r="L108" s="39" t="n">
        <f aca="false">H108*'Assumptions &amp; Data'!J242</f>
        <v>283408.127414272</v>
      </c>
      <c r="M108" s="39" t="n">
        <f aca="false">I108+J108+K108-L108</f>
        <v>2357586.37292416</v>
      </c>
      <c r="N108" s="39" t="n">
        <f aca="false">E108*'Assumptions &amp; Data'!N242</f>
        <v>776005.51</v>
      </c>
      <c r="O108" s="39" t="n">
        <f aca="false">E108*'Assumptions &amp; Data'!O242</f>
        <v>211336.79</v>
      </c>
      <c r="P108" s="39" t="n">
        <f aca="false">H108*'Assumptions &amp; Data'!P242</f>
        <v>123380.262365696</v>
      </c>
      <c r="Q108" s="39" t="n">
        <f aca="false">M108-N108-O108-P108</f>
        <v>1246863.81055846</v>
      </c>
      <c r="R108" s="39" t="n">
        <f aca="false">'Assumptions &amp; Data'!L242*'Assumptions &amp; Data'!M242</f>
        <v>336304</v>
      </c>
      <c r="S108" s="37" t="n">
        <f aca="false">'Assumptions &amp; Data'!Q242</f>
        <v>336000</v>
      </c>
      <c r="T108" s="37" t="n">
        <f aca="false">'Assumptions &amp; Data'!R242</f>
        <v>140834</v>
      </c>
      <c r="U108" s="37" t="n">
        <f aca="false">'Assumptions &amp; Data'!S242</f>
        <v>236938</v>
      </c>
      <c r="V108" s="39" t="n">
        <f aca="false">Q108-R108-S108-T108-U108</f>
        <v>196787.810558463</v>
      </c>
      <c r="W108" s="39" t="n">
        <f aca="false">DAY(EOMONTH(C108,0))</f>
        <v>30</v>
      </c>
      <c r="X108" s="40" t="n">
        <f aca="false">E108/W108</f>
        <v>689.966666666667</v>
      </c>
      <c r="Y108" s="39" t="n">
        <f aca="false">R108+S108+T108+U108</f>
        <v>1050076</v>
      </c>
    </row>
    <row r="109" customFormat="false" ht="15" hidden="false" customHeight="false" outlineLevel="0" collapsed="false">
      <c r="A109" s="37" t="str">
        <f aca="false">'Assumptions &amp; Data'!A243</f>
        <v>SM0039</v>
      </c>
      <c r="B109" s="37" t="str">
        <f aca="false">'Assumptions &amp; Data'!B243</f>
        <v>DS004</v>
      </c>
      <c r="C109" s="38" t="n">
        <f aca="false">'Assumptions &amp; Data'!C243</f>
        <v>45992</v>
      </c>
      <c r="D109" s="39" t="str">
        <f aca="false">INDEX('Assumptions &amp; Data'!$B$142:$B$201,MATCH(B109,'Assumptions &amp; Data'!$A$142:$A$201,0))</f>
        <v>Delhi NCR</v>
      </c>
      <c r="E109" s="37" t="n">
        <f aca="false">'Assumptions &amp; Data'!D243</f>
        <v>23973</v>
      </c>
      <c r="F109" s="39" t="n">
        <f aca="false">E109*'Assumptions &amp; Data'!E243</f>
        <v>14812916.7</v>
      </c>
      <c r="G109" s="39" t="n">
        <f aca="false">F109*'Assumptions &amp; Data'!F243</f>
        <v>939138.91878</v>
      </c>
      <c r="H109" s="39" t="n">
        <f aca="false">F109-G109</f>
        <v>13873777.78122</v>
      </c>
      <c r="I109" s="39" t="n">
        <f aca="false">H109*'Assumptions &amp; Data'!G243</f>
        <v>2307209.24501689</v>
      </c>
      <c r="J109" s="39" t="n">
        <f aca="false">E109*'Assumptions &amp; Data'!H243</f>
        <v>298463.85</v>
      </c>
      <c r="K109" s="39" t="n">
        <f aca="false">H109*'Assumptions &amp; Data'!I243</f>
        <v>369042.488980452</v>
      </c>
      <c r="L109" s="39" t="n">
        <f aca="false">H109*'Assumptions &amp; Data'!J243</f>
        <v>291349.33340562</v>
      </c>
      <c r="M109" s="39" t="n">
        <f aca="false">I109+J109+K109-L109</f>
        <v>2683366.25059172</v>
      </c>
      <c r="N109" s="39" t="n">
        <f aca="false">E109*'Assumptions &amp; Data'!N243</f>
        <v>893473.71</v>
      </c>
      <c r="O109" s="39" t="n">
        <f aca="false">E109*'Assumptions &amp; Data'!O243</f>
        <v>251956.23</v>
      </c>
      <c r="P109" s="39" t="n">
        <f aca="false">H109*'Assumptions &amp; Data'!P243</f>
        <v>138737.7778122</v>
      </c>
      <c r="Q109" s="39" t="n">
        <f aca="false">M109-N109-O109-P109</f>
        <v>1399198.53277952</v>
      </c>
      <c r="R109" s="39" t="n">
        <f aca="false">'Assumptions &amp; Data'!L243*'Assumptions &amp; Data'!M243</f>
        <v>336608</v>
      </c>
      <c r="S109" s="37" t="n">
        <f aca="false">'Assumptions &amp; Data'!Q243</f>
        <v>336000</v>
      </c>
      <c r="T109" s="37" t="n">
        <f aca="false">'Assumptions &amp; Data'!R243</f>
        <v>144183</v>
      </c>
      <c r="U109" s="37" t="n">
        <f aca="false">'Assumptions &amp; Data'!S243</f>
        <v>255114</v>
      </c>
      <c r="V109" s="39" t="n">
        <f aca="false">Q109-R109-S109-T109-U109</f>
        <v>327293.532779518</v>
      </c>
      <c r="W109" s="39" t="n">
        <f aca="false">DAY(EOMONTH(C109,0))</f>
        <v>31</v>
      </c>
      <c r="X109" s="40" t="n">
        <f aca="false">E109/W109</f>
        <v>773.322580645161</v>
      </c>
      <c r="Y109" s="39" t="n">
        <f aca="false">R109+S109+T109+U109</f>
        <v>1071905</v>
      </c>
    </row>
    <row r="110" customFormat="false" ht="15" hidden="false" customHeight="false" outlineLevel="0" collapsed="false">
      <c r="A110" s="37" t="str">
        <f aca="false">'Assumptions &amp; Data'!A244</f>
        <v>SM0040</v>
      </c>
      <c r="B110" s="37" t="str">
        <f aca="false">'Assumptions &amp; Data'!B244</f>
        <v>DS004</v>
      </c>
      <c r="C110" s="38" t="n">
        <f aca="false">'Assumptions &amp; Data'!C244</f>
        <v>46023</v>
      </c>
      <c r="D110" s="39" t="str">
        <f aca="false">INDEX('Assumptions &amp; Data'!$B$142:$B$201,MATCH(B110,'Assumptions &amp; Data'!$A$142:$A$201,0))</f>
        <v>Delhi NCR</v>
      </c>
      <c r="E110" s="37" t="n">
        <f aca="false">'Assumptions &amp; Data'!D244</f>
        <v>23965</v>
      </c>
      <c r="F110" s="39" t="n">
        <f aca="false">E110*'Assumptions &amp; Data'!E244</f>
        <v>14764836.5</v>
      </c>
      <c r="G110" s="39" t="n">
        <f aca="false">F110*'Assumptions &amp; Data'!F244</f>
        <v>958237.88885</v>
      </c>
      <c r="H110" s="39" t="n">
        <f aca="false">F110-G110</f>
        <v>13806598.61115</v>
      </c>
      <c r="I110" s="39" t="n">
        <f aca="false">H110*'Assumptions &amp; Data'!G244</f>
        <v>2320889.22653432</v>
      </c>
      <c r="J110" s="39" t="n">
        <f aca="false">E110*'Assumptions &amp; Data'!H244</f>
        <v>283026.65</v>
      </c>
      <c r="K110" s="39" t="n">
        <f aca="false">H110*'Assumptions &amp; Data'!I244</f>
        <v>343784.305417635</v>
      </c>
      <c r="L110" s="39" t="n">
        <f aca="false">H110*'Assumptions &amp; Data'!J244</f>
        <v>276131.972223</v>
      </c>
      <c r="M110" s="39" t="n">
        <f aca="false">I110+J110+K110-L110</f>
        <v>2671568.20972895</v>
      </c>
      <c r="N110" s="39" t="n">
        <f aca="false">E110*'Assumptions &amp; Data'!N244</f>
        <v>902761.55</v>
      </c>
      <c r="O110" s="39" t="n">
        <f aca="false">E110*'Assumptions &amp; Data'!O244</f>
        <v>243724.05</v>
      </c>
      <c r="P110" s="39" t="n">
        <f aca="false">H110*'Assumptions &amp; Data'!P244</f>
        <v>135304.66638927</v>
      </c>
      <c r="Q110" s="39" t="n">
        <f aca="false">M110-N110-O110-P110</f>
        <v>1389777.94333968</v>
      </c>
      <c r="R110" s="39" t="n">
        <f aca="false">'Assumptions &amp; Data'!L244*'Assumptions &amp; Data'!M244</f>
        <v>336912</v>
      </c>
      <c r="S110" s="37" t="n">
        <f aca="false">'Assumptions &amp; Data'!Q244</f>
        <v>336000</v>
      </c>
      <c r="T110" s="37" t="n">
        <f aca="false">'Assumptions &amp; Data'!R244</f>
        <v>151298</v>
      </c>
      <c r="U110" s="37" t="n">
        <f aca="false">'Assumptions &amp; Data'!S244</f>
        <v>242080</v>
      </c>
      <c r="V110" s="39" t="n">
        <f aca="false">Q110-R110-S110-T110-U110</f>
        <v>323487.94333968</v>
      </c>
      <c r="W110" s="39" t="n">
        <f aca="false">DAY(EOMONTH(C110,0))</f>
        <v>31</v>
      </c>
      <c r="X110" s="40" t="n">
        <f aca="false">E110/W110</f>
        <v>773.064516129032</v>
      </c>
      <c r="Y110" s="39" t="n">
        <f aca="false">R110+S110+T110+U110</f>
        <v>1066290</v>
      </c>
    </row>
    <row r="111" customFormat="false" ht="15" hidden="false" customHeight="false" outlineLevel="0" collapsed="false">
      <c r="A111" s="37" t="str">
        <f aca="false">'Assumptions &amp; Data'!A245</f>
        <v>SM0041</v>
      </c>
      <c r="B111" s="37" t="str">
        <f aca="false">'Assumptions &amp; Data'!B245</f>
        <v>DS004</v>
      </c>
      <c r="C111" s="38" t="n">
        <f aca="false">'Assumptions &amp; Data'!C245</f>
        <v>46054</v>
      </c>
      <c r="D111" s="39" t="str">
        <f aca="false">INDEX('Assumptions &amp; Data'!$B$142:$B$201,MATCH(B111,'Assumptions &amp; Data'!$A$142:$A$201,0))</f>
        <v>Delhi NCR</v>
      </c>
      <c r="E111" s="37" t="n">
        <f aca="false">'Assumptions &amp; Data'!D245</f>
        <v>22908</v>
      </c>
      <c r="F111" s="39" t="n">
        <f aca="false">E111*'Assumptions &amp; Data'!E245</f>
        <v>14164016.4</v>
      </c>
      <c r="G111" s="39" t="n">
        <f aca="false">F111*'Assumptions &amp; Data'!F245</f>
        <v>902247.84468</v>
      </c>
      <c r="H111" s="39" t="n">
        <f aca="false">F111-G111</f>
        <v>13261768.55532</v>
      </c>
      <c r="I111" s="39" t="n">
        <f aca="false">H111*'Assumptions &amp; Data'!G245</f>
        <v>2210736.81817184</v>
      </c>
      <c r="J111" s="39" t="n">
        <f aca="false">E111*'Assumptions &amp; Data'!H245</f>
        <v>292077</v>
      </c>
      <c r="K111" s="39" t="n">
        <f aca="false">H111*'Assumptions &amp; Data'!I245</f>
        <v>350110.689860448</v>
      </c>
      <c r="L111" s="39" t="n">
        <f aca="false">H111*'Assumptions &amp; Data'!J245</f>
        <v>255952.133117676</v>
      </c>
      <c r="M111" s="39" t="n">
        <f aca="false">I111+J111+K111-L111</f>
        <v>2596972.37491462</v>
      </c>
      <c r="N111" s="39" t="n">
        <f aca="false">E111*'Assumptions &amp; Data'!N245</f>
        <v>824458.92</v>
      </c>
      <c r="O111" s="39" t="n">
        <f aca="false">E111*'Assumptions &amp; Data'!O245</f>
        <v>230454.48</v>
      </c>
      <c r="P111" s="39" t="n">
        <f aca="false">H111*'Assumptions &amp; Data'!P245</f>
        <v>139248.56983086</v>
      </c>
      <c r="Q111" s="39" t="n">
        <f aca="false">M111-N111-O111-P111</f>
        <v>1402810.40508376</v>
      </c>
      <c r="R111" s="39" t="n">
        <f aca="false">'Assumptions &amp; Data'!L245*'Assumptions &amp; Data'!M245</f>
        <v>379368</v>
      </c>
      <c r="S111" s="37" t="n">
        <f aca="false">'Assumptions &amp; Data'!Q245</f>
        <v>336000</v>
      </c>
      <c r="T111" s="37" t="n">
        <f aca="false">'Assumptions &amp; Data'!R245</f>
        <v>165822</v>
      </c>
      <c r="U111" s="37" t="n">
        <f aca="false">'Assumptions &amp; Data'!S245</f>
        <v>216043</v>
      </c>
      <c r="V111" s="39" t="n">
        <f aca="false">Q111-R111-S111-T111-U111</f>
        <v>305577.405083756</v>
      </c>
      <c r="W111" s="39" t="n">
        <f aca="false">DAY(EOMONTH(C111,0))</f>
        <v>28</v>
      </c>
      <c r="X111" s="40" t="n">
        <f aca="false">E111/W111</f>
        <v>818.142857142857</v>
      </c>
      <c r="Y111" s="39" t="n">
        <f aca="false">R111+S111+T111+U111</f>
        <v>1097233</v>
      </c>
    </row>
    <row r="112" customFormat="false" ht="15" hidden="false" customHeight="false" outlineLevel="0" collapsed="false">
      <c r="A112" s="37" t="str">
        <f aca="false">'Assumptions &amp; Data'!A246</f>
        <v>SM0042</v>
      </c>
      <c r="B112" s="37" t="str">
        <f aca="false">'Assumptions &amp; Data'!B246</f>
        <v>DS004</v>
      </c>
      <c r="C112" s="38" t="n">
        <f aca="false">'Assumptions &amp; Data'!C246</f>
        <v>46082</v>
      </c>
      <c r="D112" s="39" t="str">
        <f aca="false">INDEX('Assumptions &amp; Data'!$B$142:$B$201,MATCH(B112,'Assumptions &amp; Data'!$A$142:$A$201,0))</f>
        <v>Delhi NCR</v>
      </c>
      <c r="E112" s="37" t="n">
        <f aca="false">'Assumptions &amp; Data'!D246</f>
        <v>26286</v>
      </c>
      <c r="F112" s="39" t="n">
        <f aca="false">E112*'Assumptions &amp; Data'!E246</f>
        <v>16586466</v>
      </c>
      <c r="G112" s="39" t="n">
        <f aca="false">F112*'Assumptions &amp; Data'!F246</f>
        <v>1049923.2978</v>
      </c>
      <c r="H112" s="39" t="n">
        <f aca="false">F112-G112</f>
        <v>15536542.7022</v>
      </c>
      <c r="I112" s="39" t="n">
        <f aca="false">H112*'Assumptions &amp; Data'!G246</f>
        <v>2568190.50867366</v>
      </c>
      <c r="J112" s="39" t="n">
        <f aca="false">E112*'Assumptions &amp; Data'!H246</f>
        <v>313591.98</v>
      </c>
      <c r="K112" s="39" t="n">
        <f aca="false">H112*'Assumptions &amp; Data'!I246</f>
        <v>410164.72733808</v>
      </c>
      <c r="L112" s="39" t="n">
        <f aca="false">H112*'Assumptions &amp; Data'!J246</f>
        <v>296747.96561202</v>
      </c>
      <c r="M112" s="39" t="n">
        <f aca="false">I112+J112+K112-L112</f>
        <v>2995199.25039972</v>
      </c>
      <c r="N112" s="39" t="n">
        <f aca="false">E112*'Assumptions &amp; Data'!N246</f>
        <v>952341.78</v>
      </c>
      <c r="O112" s="39" t="n">
        <f aca="false">E112*'Assumptions &amp; Data'!O246</f>
        <v>268642.92</v>
      </c>
      <c r="P112" s="39" t="n">
        <f aca="false">H112*'Assumptions &amp; Data'!P246</f>
        <v>156919.08129222</v>
      </c>
      <c r="Q112" s="39" t="n">
        <f aca="false">M112-N112-O112-P112</f>
        <v>1617295.4691075</v>
      </c>
      <c r="R112" s="39" t="n">
        <f aca="false">'Assumptions &amp; Data'!L246*'Assumptions &amp; Data'!M246</f>
        <v>358615</v>
      </c>
      <c r="S112" s="37" t="n">
        <f aca="false">'Assumptions &amp; Data'!Q246</f>
        <v>336000</v>
      </c>
      <c r="T112" s="37" t="n">
        <f aca="false">'Assumptions &amp; Data'!R246</f>
        <v>155137</v>
      </c>
      <c r="U112" s="37" t="n">
        <f aca="false">'Assumptions &amp; Data'!S246</f>
        <v>234224</v>
      </c>
      <c r="V112" s="39" t="n">
        <f aca="false">Q112-R112-S112-T112-U112</f>
        <v>533319.4691075</v>
      </c>
      <c r="W112" s="39" t="n">
        <f aca="false">DAY(EOMONTH(C112,0))</f>
        <v>31</v>
      </c>
      <c r="X112" s="40" t="n">
        <f aca="false">E112/W112</f>
        <v>847.935483870968</v>
      </c>
      <c r="Y112" s="39" t="n">
        <f aca="false">R112+S112+T112+U112</f>
        <v>1083976</v>
      </c>
    </row>
    <row r="113" customFormat="false" ht="15" hidden="false" customHeight="false" outlineLevel="0" collapsed="false">
      <c r="A113" s="37" t="str">
        <f aca="false">'Assumptions &amp; Data'!A247</f>
        <v>SM0043</v>
      </c>
      <c r="B113" s="37" t="str">
        <f aca="false">'Assumptions &amp; Data'!B247</f>
        <v>DS004</v>
      </c>
      <c r="C113" s="38" t="n">
        <f aca="false">'Assumptions &amp; Data'!C247</f>
        <v>46113</v>
      </c>
      <c r="D113" s="39" t="str">
        <f aca="false">INDEX('Assumptions &amp; Data'!$B$142:$B$201,MATCH(B113,'Assumptions &amp; Data'!$A$142:$A$201,0))</f>
        <v>Delhi NCR</v>
      </c>
      <c r="E113" s="37" t="n">
        <f aca="false">'Assumptions &amp; Data'!D247</f>
        <v>29765</v>
      </c>
      <c r="F113" s="39" t="n">
        <f aca="false">E113*'Assumptions &amp; Data'!E247</f>
        <v>18549548</v>
      </c>
      <c r="G113" s="39" t="n">
        <f aca="false">F113*'Assumptions &amp; Data'!F247</f>
        <v>1087003.5128</v>
      </c>
      <c r="H113" s="39" t="n">
        <f aca="false">F113-G113</f>
        <v>17462544.4872</v>
      </c>
      <c r="I113" s="39" t="n">
        <f aca="false">H113*'Assumptions &amp; Data'!G247</f>
        <v>2886558.60373416</v>
      </c>
      <c r="J113" s="39" t="n">
        <f aca="false">E113*'Assumptions &amp; Data'!H247</f>
        <v>374741.35</v>
      </c>
      <c r="K113" s="39" t="n">
        <f aca="false">H113*'Assumptions &amp; Data'!I247</f>
        <v>506413.7901288</v>
      </c>
      <c r="L113" s="39" t="n">
        <f aca="false">H113*'Assumptions &amp; Data'!J247</f>
        <v>289878.23848752</v>
      </c>
      <c r="M113" s="39" t="n">
        <f aca="false">I113+J113+K113-L113</f>
        <v>3477835.50537544</v>
      </c>
      <c r="N113" s="39" t="n">
        <f aca="false">E113*'Assumptions &amp; Data'!N247</f>
        <v>1013200.6</v>
      </c>
      <c r="O113" s="39" t="n">
        <f aca="false">E113*'Assumptions &amp; Data'!O247</f>
        <v>308067.75</v>
      </c>
      <c r="P113" s="39" t="n">
        <f aca="false">H113*'Assumptions &amp; Data'!P247</f>
        <v>178117.95376944</v>
      </c>
      <c r="Q113" s="39" t="n">
        <f aca="false">M113-N113-O113-P113</f>
        <v>1978449.201606</v>
      </c>
      <c r="R113" s="39" t="n">
        <f aca="false">'Assumptions &amp; Data'!L247*'Assumptions &amp; Data'!M247</f>
        <v>422300</v>
      </c>
      <c r="S113" s="37" t="n">
        <f aca="false">'Assumptions &amp; Data'!Q247</f>
        <v>336000</v>
      </c>
      <c r="T113" s="37" t="n">
        <f aca="false">'Assumptions &amp; Data'!R247</f>
        <v>153588</v>
      </c>
      <c r="U113" s="37" t="n">
        <f aca="false">'Assumptions &amp; Data'!S247</f>
        <v>238955</v>
      </c>
      <c r="V113" s="39" t="n">
        <f aca="false">Q113-R113-S113-T113-U113</f>
        <v>827606.201606</v>
      </c>
      <c r="W113" s="39" t="n">
        <f aca="false">DAY(EOMONTH(C113,0))</f>
        <v>30</v>
      </c>
      <c r="X113" s="40" t="n">
        <f aca="false">E113/W113</f>
        <v>992.166666666667</v>
      </c>
      <c r="Y113" s="39" t="n">
        <f aca="false">R113+S113+T113+U113</f>
        <v>1150843</v>
      </c>
    </row>
    <row r="114" customFormat="false" ht="15" hidden="false" customHeight="false" outlineLevel="0" collapsed="false">
      <c r="A114" s="37" t="str">
        <f aca="false">'Assumptions &amp; Data'!A248</f>
        <v>SM0044</v>
      </c>
      <c r="B114" s="37" t="str">
        <f aca="false">'Assumptions &amp; Data'!B248</f>
        <v>DS004</v>
      </c>
      <c r="C114" s="38" t="n">
        <f aca="false">'Assumptions &amp; Data'!C248</f>
        <v>46143</v>
      </c>
      <c r="D114" s="39" t="str">
        <f aca="false">INDEX('Assumptions &amp; Data'!$B$142:$B$201,MATCH(B114,'Assumptions &amp; Data'!$A$142:$A$201,0))</f>
        <v>Delhi NCR</v>
      </c>
      <c r="E114" s="37" t="n">
        <f aca="false">'Assumptions &amp; Data'!D248</f>
        <v>31833</v>
      </c>
      <c r="F114" s="39" t="n">
        <f aca="false">E114*'Assumptions &amp; Data'!E248</f>
        <v>19796942.7</v>
      </c>
      <c r="G114" s="39" t="n">
        <f aca="false">F114*'Assumptions &amp; Data'!F248</f>
        <v>1156141.45368</v>
      </c>
      <c r="H114" s="39" t="n">
        <f aca="false">F114-G114</f>
        <v>18640801.24632</v>
      </c>
      <c r="I114" s="39" t="n">
        <f aca="false">H114*'Assumptions &amp; Data'!G248</f>
        <v>3116741.9683847</v>
      </c>
      <c r="J114" s="39" t="n">
        <f aca="false">E114*'Assumptions &amp; Data'!H248</f>
        <v>368944.47</v>
      </c>
      <c r="K114" s="39" t="n">
        <f aca="false">H114*'Assumptions &amp; Data'!I248</f>
        <v>562952.197638864</v>
      </c>
      <c r="L114" s="39" t="n">
        <f aca="false">H114*'Assumptions &amp; Data'!J248</f>
        <v>372816.0249264</v>
      </c>
      <c r="M114" s="39" t="n">
        <f aca="false">I114+J114+K114-L114</f>
        <v>3675822.61109717</v>
      </c>
      <c r="N114" s="39" t="n">
        <f aca="false">E114*'Assumptions &amp; Data'!N248</f>
        <v>1074045.42</v>
      </c>
      <c r="O114" s="39" t="n">
        <f aca="false">E114*'Assumptions &amp; Data'!O248</f>
        <v>321513.3</v>
      </c>
      <c r="P114" s="39" t="n">
        <f aca="false">H114*'Assumptions &amp; Data'!P248</f>
        <v>186408.0124632</v>
      </c>
      <c r="Q114" s="39" t="n">
        <f aca="false">M114-N114-O114-P114</f>
        <v>2093855.87863397</v>
      </c>
      <c r="R114" s="39" t="n">
        <f aca="false">'Assumptions &amp; Data'!L248*'Assumptions &amp; Data'!M248</f>
        <v>443814</v>
      </c>
      <c r="S114" s="37" t="n">
        <f aca="false">'Assumptions &amp; Data'!Q248</f>
        <v>336000</v>
      </c>
      <c r="T114" s="37" t="n">
        <f aca="false">'Assumptions &amp; Data'!R248</f>
        <v>156228</v>
      </c>
      <c r="U114" s="37" t="n">
        <f aca="false">'Assumptions &amp; Data'!S248</f>
        <v>234352</v>
      </c>
      <c r="V114" s="39" t="n">
        <f aca="false">Q114-R114-S114-T114-U114</f>
        <v>923461.878633968</v>
      </c>
      <c r="W114" s="39" t="n">
        <f aca="false">DAY(EOMONTH(C114,0))</f>
        <v>31</v>
      </c>
      <c r="X114" s="40" t="n">
        <f aca="false">E114/W114</f>
        <v>1026.87096774194</v>
      </c>
      <c r="Y114" s="39" t="n">
        <f aca="false">R114+S114+T114+U114</f>
        <v>1170394</v>
      </c>
    </row>
    <row r="115" customFormat="false" ht="15" hidden="false" customHeight="false" outlineLevel="0" collapsed="false">
      <c r="A115" s="37" t="str">
        <f aca="false">'Assumptions &amp; Data'!A249</f>
        <v>SM0045</v>
      </c>
      <c r="B115" s="37" t="str">
        <f aca="false">'Assumptions &amp; Data'!B249</f>
        <v>DS004</v>
      </c>
      <c r="C115" s="38" t="n">
        <f aca="false">'Assumptions &amp; Data'!C249</f>
        <v>46174</v>
      </c>
      <c r="D115" s="39" t="str">
        <f aca="false">INDEX('Assumptions &amp; Data'!$B$142:$B$201,MATCH(B115,'Assumptions &amp; Data'!$A$142:$A$201,0))</f>
        <v>Delhi NCR</v>
      </c>
      <c r="E115" s="37" t="n">
        <f aca="false">'Assumptions &amp; Data'!D249</f>
        <v>31397</v>
      </c>
      <c r="F115" s="39" t="n">
        <f aca="false">E115*'Assumptions &amp; Data'!E249</f>
        <v>19707896.9</v>
      </c>
      <c r="G115" s="39" t="n">
        <f aca="false">F115*'Assumptions &amp; Data'!F249</f>
        <v>1178532.23462</v>
      </c>
      <c r="H115" s="39" t="n">
        <f aca="false">F115-G115</f>
        <v>18529364.66538</v>
      </c>
      <c r="I115" s="39" t="n">
        <f aca="false">H115*'Assumptions &amp; Data'!G249</f>
        <v>3070315.72505347</v>
      </c>
      <c r="J115" s="39" t="n">
        <f aca="false">E115*'Assumptions &amp; Data'!H249</f>
        <v>401567.63</v>
      </c>
      <c r="K115" s="39" t="n">
        <f aca="false">H115*'Assumptions &amp; Data'!I249</f>
        <v>537351.57529602</v>
      </c>
      <c r="L115" s="39" t="n">
        <f aca="false">H115*'Assumptions &amp; Data'!J249</f>
        <v>311293.326378384</v>
      </c>
      <c r="M115" s="39" t="n">
        <f aca="false">I115+J115+K115-L115</f>
        <v>3697941.6039711</v>
      </c>
      <c r="N115" s="39" t="n">
        <f aca="false">E115*'Assumptions &amp; Data'!N249</f>
        <v>1082882.53</v>
      </c>
      <c r="O115" s="39" t="n">
        <f aca="false">E115*'Assumptions &amp; Data'!O249</f>
        <v>316167.79</v>
      </c>
      <c r="P115" s="39" t="n">
        <f aca="false">H115*'Assumptions &amp; Data'!P249</f>
        <v>183440.710187262</v>
      </c>
      <c r="Q115" s="39" t="n">
        <f aca="false">M115-N115-O115-P115</f>
        <v>2115450.57378384</v>
      </c>
      <c r="R115" s="39" t="n">
        <f aca="false">'Assumptions &amp; Data'!L249*'Assumptions &amp; Data'!M249</f>
        <v>465366</v>
      </c>
      <c r="S115" s="37" t="n">
        <f aca="false">'Assumptions &amp; Data'!Q249</f>
        <v>336000</v>
      </c>
      <c r="T115" s="37" t="n">
        <f aca="false">'Assumptions &amp; Data'!R249</f>
        <v>155428</v>
      </c>
      <c r="U115" s="37" t="n">
        <f aca="false">'Assumptions &amp; Data'!S249</f>
        <v>217235</v>
      </c>
      <c r="V115" s="39" t="n">
        <f aca="false">Q115-R115-S115-T115-U115</f>
        <v>941421.57378384</v>
      </c>
      <c r="W115" s="39" t="n">
        <f aca="false">DAY(EOMONTH(C115,0))</f>
        <v>30</v>
      </c>
      <c r="X115" s="40" t="n">
        <f aca="false">E115/W115</f>
        <v>1046.56666666667</v>
      </c>
      <c r="Y115" s="39" t="n">
        <f aca="false">R115+S115+T115+U115</f>
        <v>1174029</v>
      </c>
    </row>
    <row r="116" customFormat="false" ht="15" hidden="false" customHeight="false" outlineLevel="0" collapsed="false">
      <c r="A116" s="37" t="str">
        <f aca="false">'Assumptions &amp; Data'!A250</f>
        <v>SM0046</v>
      </c>
      <c r="B116" s="37" t="str">
        <f aca="false">'Assumptions &amp; Data'!B250</f>
        <v>DS004</v>
      </c>
      <c r="C116" s="38" t="n">
        <f aca="false">'Assumptions &amp; Data'!C250</f>
        <v>46204</v>
      </c>
      <c r="D116" s="39" t="str">
        <f aca="false">INDEX('Assumptions &amp; Data'!$B$142:$B$201,MATCH(B116,'Assumptions &amp; Data'!$A$142:$A$201,0))</f>
        <v>Delhi NCR</v>
      </c>
      <c r="E116" s="37" t="n">
        <f aca="false">'Assumptions &amp; Data'!D250</f>
        <v>29594</v>
      </c>
      <c r="F116" s="39" t="n">
        <f aca="false">E116*'Assumptions &amp; Data'!E250</f>
        <v>18466656</v>
      </c>
      <c r="G116" s="39" t="n">
        <f aca="false">F116*'Assumptions &amp; Data'!F250</f>
        <v>1006432.752</v>
      </c>
      <c r="H116" s="39" t="n">
        <f aca="false">F116-G116</f>
        <v>17460223.248</v>
      </c>
      <c r="I116" s="39" t="n">
        <f aca="false">H116*'Assumptions &amp; Data'!G250</f>
        <v>2879190.8135952</v>
      </c>
      <c r="J116" s="39" t="n">
        <f aca="false">E116*'Assumptions &amp; Data'!H250</f>
        <v>364894.02</v>
      </c>
      <c r="K116" s="39" t="n">
        <f aca="false">H116*'Assumptions &amp; Data'!I250</f>
        <v>473172.0500208</v>
      </c>
      <c r="L116" s="39" t="n">
        <f aca="false">H116*'Assumptions &amp; Data'!J250</f>
        <v>321268.1077632</v>
      </c>
      <c r="M116" s="39" t="n">
        <f aca="false">I116+J116+K116-L116</f>
        <v>3395988.7758528</v>
      </c>
      <c r="N116" s="39" t="n">
        <f aca="false">E116*'Assumptions &amp; Data'!N250</f>
        <v>1004124.42</v>
      </c>
      <c r="O116" s="39" t="n">
        <f aca="false">E116*'Assumptions &amp; Data'!O250</f>
        <v>300675.04</v>
      </c>
      <c r="P116" s="39" t="n">
        <f aca="false">H116*'Assumptions &amp; Data'!P250</f>
        <v>171110.1878304</v>
      </c>
      <c r="Q116" s="39" t="n">
        <f aca="false">M116-N116-O116-P116</f>
        <v>1920079.1280224</v>
      </c>
      <c r="R116" s="39" t="n">
        <f aca="false">'Assumptions &amp; Data'!L250*'Assumptions &amp; Data'!M250</f>
        <v>423440</v>
      </c>
      <c r="S116" s="37" t="n">
        <f aca="false">'Assumptions &amp; Data'!Q250</f>
        <v>336000</v>
      </c>
      <c r="T116" s="37" t="n">
        <f aca="false">'Assumptions &amp; Data'!R250</f>
        <v>157400</v>
      </c>
      <c r="U116" s="37" t="n">
        <f aca="false">'Assumptions &amp; Data'!S250</f>
        <v>181998</v>
      </c>
      <c r="V116" s="39" t="n">
        <f aca="false">Q116-R116-S116-T116-U116</f>
        <v>821241.1280224</v>
      </c>
      <c r="W116" s="39" t="n">
        <f aca="false">DAY(EOMONTH(C116,0))</f>
        <v>31</v>
      </c>
      <c r="X116" s="40" t="n">
        <f aca="false">E116/W116</f>
        <v>954.645161290323</v>
      </c>
      <c r="Y116" s="39" t="n">
        <f aca="false">R116+S116+T116+U116</f>
        <v>1098838</v>
      </c>
    </row>
    <row r="117" customFormat="false" ht="15" hidden="false" customHeight="false" outlineLevel="0" collapsed="false">
      <c r="A117" s="37" t="str">
        <f aca="false">'Assumptions &amp; Data'!A251</f>
        <v>SM0047</v>
      </c>
      <c r="B117" s="37" t="str">
        <f aca="false">'Assumptions &amp; Data'!B251</f>
        <v>DS004</v>
      </c>
      <c r="C117" s="38" t="n">
        <f aca="false">'Assumptions &amp; Data'!C251</f>
        <v>46235</v>
      </c>
      <c r="D117" s="39" t="str">
        <f aca="false">INDEX('Assumptions &amp; Data'!$B$142:$B$201,MATCH(B117,'Assumptions &amp; Data'!$A$142:$A$201,0))</f>
        <v>Delhi NCR</v>
      </c>
      <c r="E117" s="37" t="n">
        <f aca="false">'Assumptions &amp; Data'!D251</f>
        <v>33155</v>
      </c>
      <c r="F117" s="39" t="n">
        <f aca="false">E117*'Assumptions &amp; Data'!E251</f>
        <v>20536207</v>
      </c>
      <c r="G117" s="39" t="n">
        <f aca="false">F117*'Assumptions &amp; Data'!F251</f>
        <v>1121276.9022</v>
      </c>
      <c r="H117" s="39" t="n">
        <f aca="false">F117-G117</f>
        <v>19414930.0978</v>
      </c>
      <c r="I117" s="39" t="n">
        <f aca="false">H117*'Assumptions &amp; Data'!G251</f>
        <v>3257825.27041084</v>
      </c>
      <c r="J117" s="39" t="n">
        <f aca="false">E117*'Assumptions &amp; Data'!H251</f>
        <v>461186.05</v>
      </c>
      <c r="K117" s="39" t="n">
        <f aca="false">H117*'Assumptions &amp; Data'!I251</f>
        <v>578564.91691444</v>
      </c>
      <c r="L117" s="39" t="n">
        <f aca="false">H117*'Assumptions &amp; Data'!J251</f>
        <v>339761.2767115</v>
      </c>
      <c r="M117" s="39" t="n">
        <f aca="false">I117+J117+K117-L117</f>
        <v>3957814.96061378</v>
      </c>
      <c r="N117" s="39" t="n">
        <f aca="false">E117*'Assumptions &amp; Data'!N251</f>
        <v>1156114.85</v>
      </c>
      <c r="O117" s="39" t="n">
        <f aca="false">E117*'Assumptions &amp; Data'!O251</f>
        <v>341164.95</v>
      </c>
      <c r="P117" s="39" t="n">
        <f aca="false">H117*'Assumptions &amp; Data'!P251</f>
        <v>184441.8359291</v>
      </c>
      <c r="Q117" s="39" t="n">
        <f aca="false">M117-N117-O117-P117</f>
        <v>2276093.32468468</v>
      </c>
      <c r="R117" s="39" t="n">
        <f aca="false">'Assumptions &amp; Data'!L251*'Assumptions &amp; Data'!M251</f>
        <v>466202</v>
      </c>
      <c r="S117" s="37" t="n">
        <f aca="false">'Assumptions &amp; Data'!Q251</f>
        <v>336000</v>
      </c>
      <c r="T117" s="37" t="n">
        <f aca="false">'Assumptions &amp; Data'!R251</f>
        <v>152898</v>
      </c>
      <c r="U117" s="37" t="n">
        <f aca="false">'Assumptions &amp; Data'!S251</f>
        <v>190994</v>
      </c>
      <c r="V117" s="39" t="n">
        <f aca="false">Q117-R117-S117-T117-U117</f>
        <v>1129999.32468468</v>
      </c>
      <c r="W117" s="39" t="n">
        <f aca="false">DAY(EOMONTH(C117,0))</f>
        <v>31</v>
      </c>
      <c r="X117" s="40" t="n">
        <f aca="false">E117/W117</f>
        <v>1069.51612903226</v>
      </c>
      <c r="Y117" s="39" t="n">
        <f aca="false">R117+S117+T117+U117</f>
        <v>1146094</v>
      </c>
    </row>
    <row r="118" customFormat="false" ht="15" hidden="false" customHeight="false" outlineLevel="0" collapsed="false">
      <c r="A118" s="37" t="str">
        <f aca="false">'Assumptions &amp; Data'!A252</f>
        <v>SM0048</v>
      </c>
      <c r="B118" s="37" t="str">
        <f aca="false">'Assumptions &amp; Data'!B252</f>
        <v>DS004</v>
      </c>
      <c r="C118" s="38" t="n">
        <f aca="false">'Assumptions &amp; Data'!C252</f>
        <v>46266</v>
      </c>
      <c r="D118" s="39" t="str">
        <f aca="false">INDEX('Assumptions &amp; Data'!$B$142:$B$201,MATCH(B118,'Assumptions &amp; Data'!$A$142:$A$201,0))</f>
        <v>Delhi NCR</v>
      </c>
      <c r="E118" s="37" t="n">
        <f aca="false">'Assumptions &amp; Data'!D252</f>
        <v>33581</v>
      </c>
      <c r="F118" s="39" t="n">
        <f aca="false">E118*'Assumptions &amp; Data'!E252</f>
        <v>21149313.8</v>
      </c>
      <c r="G118" s="39" t="n">
        <f aca="false">F118*'Assumptions &amp; Data'!F252</f>
        <v>1233004.99454</v>
      </c>
      <c r="H118" s="39" t="n">
        <f aca="false">F118-G118</f>
        <v>19916308.80546</v>
      </c>
      <c r="I118" s="39" t="n">
        <f aca="false">H118*'Assumptions &amp; Data'!G252</f>
        <v>3324031.93963127</v>
      </c>
      <c r="J118" s="39" t="n">
        <f aca="false">E118*'Assumptions &amp; Data'!H252</f>
        <v>429500.99</v>
      </c>
      <c r="K118" s="39" t="n">
        <f aca="false">H118*'Assumptions &amp; Data'!I252</f>
        <v>617405.57296926</v>
      </c>
      <c r="L118" s="39" t="n">
        <f aca="false">H118*'Assumptions &amp; Data'!J252</f>
        <v>354510.296737188</v>
      </c>
      <c r="M118" s="39" t="n">
        <f aca="false">I118+J118+K118-L118</f>
        <v>4016428.20586335</v>
      </c>
      <c r="N118" s="39" t="n">
        <f aca="false">E118*'Assumptions &amp; Data'!N252</f>
        <v>1154850.59</v>
      </c>
      <c r="O118" s="39" t="n">
        <f aca="false">E118*'Assumptions &amp; Data'!O252</f>
        <v>346891.73</v>
      </c>
      <c r="P118" s="39" t="n">
        <f aca="false">H118*'Assumptions &amp; Data'!P252</f>
        <v>195179.826293508</v>
      </c>
      <c r="Q118" s="39" t="n">
        <f aca="false">M118-N118-O118-P118</f>
        <v>2319506.05956984</v>
      </c>
      <c r="R118" s="39" t="n">
        <f aca="false">'Assumptions &amp; Data'!L252*'Assumptions &amp; Data'!M252</f>
        <v>509040</v>
      </c>
      <c r="S118" s="37" t="n">
        <f aca="false">'Assumptions &amp; Data'!Q252</f>
        <v>336000</v>
      </c>
      <c r="T118" s="37" t="n">
        <f aca="false">'Assumptions &amp; Data'!R252</f>
        <v>145493</v>
      </c>
      <c r="U118" s="37" t="n">
        <f aca="false">'Assumptions &amp; Data'!S252</f>
        <v>224156</v>
      </c>
      <c r="V118" s="39" t="n">
        <f aca="false">Q118-R118-S118-T118-U118</f>
        <v>1104817.05956984</v>
      </c>
      <c r="W118" s="39" t="n">
        <f aca="false">DAY(EOMONTH(C118,0))</f>
        <v>30</v>
      </c>
      <c r="X118" s="40" t="n">
        <f aca="false">E118/W118</f>
        <v>1119.36666666667</v>
      </c>
      <c r="Y118" s="39" t="n">
        <f aca="false">R118+S118+T118+U118</f>
        <v>1214689</v>
      </c>
    </row>
    <row r="119" customFormat="false" ht="15" hidden="false" customHeight="false" outlineLevel="0" collapsed="false">
      <c r="A119" s="37" t="str">
        <f aca="false">'Assumptions &amp; Data'!A253</f>
        <v>SM0049</v>
      </c>
      <c r="B119" s="37" t="str">
        <f aca="false">'Assumptions &amp; Data'!B253</f>
        <v>DS005</v>
      </c>
      <c r="C119" s="38" t="n">
        <f aca="false">'Assumptions &amp; Data'!C253</f>
        <v>45931</v>
      </c>
      <c r="D119" s="39" t="str">
        <f aca="false">INDEX('Assumptions &amp; Data'!$B$142:$B$201,MATCH(B119,'Assumptions &amp; Data'!$A$142:$A$201,0))</f>
        <v>Delhi NCR</v>
      </c>
      <c r="E119" s="37" t="n">
        <f aca="false">'Assumptions &amp; Data'!D253</f>
        <v>36102</v>
      </c>
      <c r="F119" s="39" t="n">
        <f aca="false">E119*'Assumptions &amp; Data'!E253</f>
        <v>22953651.6</v>
      </c>
      <c r="G119" s="39" t="n">
        <f aca="false">F119*'Assumptions &amp; Data'!F253</f>
        <v>1439193.95532</v>
      </c>
      <c r="H119" s="39" t="n">
        <f aca="false">F119-G119</f>
        <v>21514457.64468</v>
      </c>
      <c r="I119" s="39" t="n">
        <f aca="false">H119*'Assumptions &amp; Data'!G253</f>
        <v>3620883.22159964</v>
      </c>
      <c r="J119" s="39" t="n">
        <f aca="false">E119*'Assumptions &amp; Data'!H253</f>
        <v>473658.24</v>
      </c>
      <c r="K119" s="39" t="n">
        <f aca="false">H119*'Assumptions &amp; Data'!I253</f>
        <v>651888.066633804</v>
      </c>
      <c r="L119" s="39" t="n">
        <f aca="false">H119*'Assumptions &amp; Data'!J253</f>
        <v>374351.563017432</v>
      </c>
      <c r="M119" s="39" t="n">
        <f aca="false">I119+J119+K119-L119</f>
        <v>4372077.96521602</v>
      </c>
      <c r="N119" s="39" t="n">
        <f aca="false">E119*'Assumptions &amp; Data'!N253</f>
        <v>1371153.96</v>
      </c>
      <c r="O119" s="39" t="n">
        <f aca="false">E119*'Assumptions &amp; Data'!O253</f>
        <v>375460.8</v>
      </c>
      <c r="P119" s="39" t="n">
        <f aca="false">H119*'Assumptions &amp; Data'!P253</f>
        <v>219447.467975736</v>
      </c>
      <c r="Q119" s="39" t="n">
        <f aca="false">M119-N119-O119-P119</f>
        <v>2406015.73724028</v>
      </c>
      <c r="R119" s="39" t="n">
        <f aca="false">'Assumptions &amp; Data'!L253*'Assumptions &amp; Data'!M253</f>
        <v>609000</v>
      </c>
      <c r="S119" s="37" t="n">
        <f aca="false">'Assumptions &amp; Data'!Q253</f>
        <v>1056000</v>
      </c>
      <c r="T119" s="37" t="n">
        <f aca="false">'Assumptions &amp; Data'!R253</f>
        <v>197598</v>
      </c>
      <c r="U119" s="37" t="n">
        <f aca="false">'Assumptions &amp; Data'!S253</f>
        <v>190495</v>
      </c>
      <c r="V119" s="39" t="n">
        <f aca="false">Q119-R119-S119-T119-U119</f>
        <v>352922.73724028</v>
      </c>
      <c r="W119" s="39" t="n">
        <f aca="false">DAY(EOMONTH(C119,0))</f>
        <v>31</v>
      </c>
      <c r="X119" s="40" t="n">
        <f aca="false">E119/W119</f>
        <v>1164.58064516129</v>
      </c>
      <c r="Y119" s="39" t="n">
        <f aca="false">R119+S119+T119+U119</f>
        <v>2053093</v>
      </c>
    </row>
    <row r="120" customFormat="false" ht="15" hidden="false" customHeight="false" outlineLevel="0" collapsed="false">
      <c r="A120" s="37" t="str">
        <f aca="false">'Assumptions &amp; Data'!A254</f>
        <v>SM0050</v>
      </c>
      <c r="B120" s="37" t="str">
        <f aca="false">'Assumptions &amp; Data'!B254</f>
        <v>DS005</v>
      </c>
      <c r="C120" s="38" t="n">
        <f aca="false">'Assumptions &amp; Data'!C254</f>
        <v>45962</v>
      </c>
      <c r="D120" s="39" t="str">
        <f aca="false">INDEX('Assumptions &amp; Data'!$B$142:$B$201,MATCH(B120,'Assumptions &amp; Data'!$A$142:$A$201,0))</f>
        <v>Delhi NCR</v>
      </c>
      <c r="E120" s="37" t="n">
        <f aca="false">'Assumptions &amp; Data'!D254</f>
        <v>39148</v>
      </c>
      <c r="F120" s="39" t="n">
        <f aca="false">E120*'Assumptions &amp; Data'!E254</f>
        <v>24694558.4</v>
      </c>
      <c r="G120" s="39" t="n">
        <f aca="false">F120*'Assumptions &amp; Data'!F254</f>
        <v>1694046.70624</v>
      </c>
      <c r="H120" s="39" t="n">
        <f aca="false">F120-G120</f>
        <v>23000511.69376</v>
      </c>
      <c r="I120" s="39" t="n">
        <f aca="false">H120*'Assumptions &amp; Data'!G254</f>
        <v>3836485.35051917</v>
      </c>
      <c r="J120" s="39" t="n">
        <f aca="false">E120*'Assumptions &amp; Data'!H254</f>
        <v>510881.4</v>
      </c>
      <c r="K120" s="39" t="n">
        <f aca="false">H120*'Assumptions &amp; Data'!I254</f>
        <v>719916.016014688</v>
      </c>
      <c r="L120" s="39" t="n">
        <f aca="false">H120*'Assumptions &amp; Data'!J254</f>
        <v>374908.340608288</v>
      </c>
      <c r="M120" s="39" t="n">
        <f aca="false">I120+J120+K120-L120</f>
        <v>4692374.42592557</v>
      </c>
      <c r="N120" s="39" t="n">
        <f aca="false">E120*'Assumptions &amp; Data'!N254</f>
        <v>1509546.88</v>
      </c>
      <c r="O120" s="39" t="n">
        <f aca="false">E120*'Assumptions &amp; Data'!O254</f>
        <v>401658.48</v>
      </c>
      <c r="P120" s="39" t="n">
        <f aca="false">H120*'Assumptions &amp; Data'!P254</f>
        <v>232305.168106976</v>
      </c>
      <c r="Q120" s="39" t="n">
        <f aca="false">M120-N120-O120-P120</f>
        <v>2548863.89781859</v>
      </c>
      <c r="R120" s="39" t="n">
        <f aca="false">'Assumptions &amp; Data'!L254*'Assumptions &amp; Data'!M254</f>
        <v>630570</v>
      </c>
      <c r="S120" s="37" t="n">
        <f aca="false">'Assumptions &amp; Data'!Q254</f>
        <v>1056000</v>
      </c>
      <c r="T120" s="37" t="n">
        <f aca="false">'Assumptions &amp; Data'!R254</f>
        <v>197605</v>
      </c>
      <c r="U120" s="37" t="n">
        <f aca="false">'Assumptions &amp; Data'!S254</f>
        <v>205643</v>
      </c>
      <c r="V120" s="39" t="n">
        <f aca="false">Q120-R120-S120-T120-U120</f>
        <v>459045.897818593</v>
      </c>
      <c r="W120" s="39" t="n">
        <f aca="false">DAY(EOMONTH(C120,0))</f>
        <v>30</v>
      </c>
      <c r="X120" s="40" t="n">
        <f aca="false">E120/W120</f>
        <v>1304.93333333333</v>
      </c>
      <c r="Y120" s="39" t="n">
        <f aca="false">R120+S120+T120+U120</f>
        <v>2089818</v>
      </c>
    </row>
    <row r="121" customFormat="false" ht="15" hidden="false" customHeight="false" outlineLevel="0" collapsed="false">
      <c r="A121" s="37" t="str">
        <f aca="false">'Assumptions &amp; Data'!A255</f>
        <v>SM0051</v>
      </c>
      <c r="B121" s="37" t="str">
        <f aca="false">'Assumptions &amp; Data'!B255</f>
        <v>DS005</v>
      </c>
      <c r="C121" s="38" t="n">
        <f aca="false">'Assumptions &amp; Data'!C255</f>
        <v>45992</v>
      </c>
      <c r="D121" s="39" t="str">
        <f aca="false">INDEX('Assumptions &amp; Data'!$B$142:$B$201,MATCH(B121,'Assumptions &amp; Data'!$A$142:$A$201,0))</f>
        <v>Delhi NCR</v>
      </c>
      <c r="E121" s="37" t="n">
        <f aca="false">'Assumptions &amp; Data'!D255</f>
        <v>38802</v>
      </c>
      <c r="F121" s="39" t="n">
        <f aca="false">E121*'Assumptions &amp; Data'!E255</f>
        <v>24227968.8</v>
      </c>
      <c r="G121" s="39" t="n">
        <f aca="false">F121*'Assumptions &amp; Data'!F255</f>
        <v>1720185.7848</v>
      </c>
      <c r="H121" s="39" t="n">
        <f aca="false">F121-G121</f>
        <v>22507783.0152</v>
      </c>
      <c r="I121" s="39" t="n">
        <f aca="false">H121*'Assumptions &amp; Data'!G255</f>
        <v>3731790.42392016</v>
      </c>
      <c r="J121" s="39" t="n">
        <f aca="false">E121*'Assumptions &amp; Data'!H255</f>
        <v>475712.52</v>
      </c>
      <c r="K121" s="39" t="n">
        <f aca="false">H121*'Assumptions &amp; Data'!I255</f>
        <v>690988.93856664</v>
      </c>
      <c r="L121" s="39" t="n">
        <f aca="false">H121*'Assumptions &amp; Data'!J255</f>
        <v>373629.19805232</v>
      </c>
      <c r="M121" s="39" t="n">
        <f aca="false">I121+J121+K121-L121</f>
        <v>4524862.68443448</v>
      </c>
      <c r="N121" s="39" t="n">
        <f aca="false">E121*'Assumptions &amp; Data'!N255</f>
        <v>1493877</v>
      </c>
      <c r="O121" s="39" t="n">
        <f aca="false">E121*'Assumptions &amp; Data'!O255</f>
        <v>397720.5</v>
      </c>
      <c r="P121" s="39" t="n">
        <f aca="false">H121*'Assumptions &amp; Data'!P255</f>
        <v>225077.830152</v>
      </c>
      <c r="Q121" s="39" t="n">
        <f aca="false">M121-N121-O121-P121</f>
        <v>2408187.35428248</v>
      </c>
      <c r="R121" s="39" t="n">
        <f aca="false">'Assumptions &amp; Data'!L255*'Assumptions &amp; Data'!M255</f>
        <v>610102</v>
      </c>
      <c r="S121" s="37" t="n">
        <f aca="false">'Assumptions &amp; Data'!Q255</f>
        <v>1056000</v>
      </c>
      <c r="T121" s="37" t="n">
        <f aca="false">'Assumptions &amp; Data'!R255</f>
        <v>206871</v>
      </c>
      <c r="U121" s="37" t="n">
        <f aca="false">'Assumptions &amp; Data'!S255</f>
        <v>201873</v>
      </c>
      <c r="V121" s="39" t="n">
        <f aca="false">Q121-R121-S121-T121-U121</f>
        <v>333341.35428248</v>
      </c>
      <c r="W121" s="39" t="n">
        <f aca="false">DAY(EOMONTH(C121,0))</f>
        <v>31</v>
      </c>
      <c r="X121" s="40" t="n">
        <f aca="false">E121/W121</f>
        <v>1251.67741935484</v>
      </c>
      <c r="Y121" s="39" t="n">
        <f aca="false">R121+S121+T121+U121</f>
        <v>2074846</v>
      </c>
    </row>
    <row r="122" customFormat="false" ht="15" hidden="false" customHeight="false" outlineLevel="0" collapsed="false">
      <c r="A122" s="37" t="str">
        <f aca="false">'Assumptions &amp; Data'!A256</f>
        <v>SM0052</v>
      </c>
      <c r="B122" s="37" t="str">
        <f aca="false">'Assumptions &amp; Data'!B256</f>
        <v>DS005</v>
      </c>
      <c r="C122" s="38" t="n">
        <f aca="false">'Assumptions &amp; Data'!C256</f>
        <v>46023</v>
      </c>
      <c r="D122" s="39" t="str">
        <f aca="false">INDEX('Assumptions &amp; Data'!$B$142:$B$201,MATCH(B122,'Assumptions &amp; Data'!$A$142:$A$201,0))</f>
        <v>Delhi NCR</v>
      </c>
      <c r="E122" s="37" t="n">
        <f aca="false">'Assumptions &amp; Data'!D256</f>
        <v>35526</v>
      </c>
      <c r="F122" s="39" t="n">
        <f aca="false">E122*'Assumptions &amp; Data'!E256</f>
        <v>21990594</v>
      </c>
      <c r="G122" s="39" t="n">
        <f aca="false">F122*'Assumptions &amp; Data'!F256</f>
        <v>1501957.5702</v>
      </c>
      <c r="H122" s="39" t="n">
        <f aca="false">F122-G122</f>
        <v>20488636.4298</v>
      </c>
      <c r="I122" s="39" t="n">
        <f aca="false">H122*'Assumptions &amp; Data'!G256</f>
        <v>3448237.51113534</v>
      </c>
      <c r="J122" s="39" t="n">
        <f aca="false">E122*'Assumptions &amp; Data'!H256</f>
        <v>443719.74</v>
      </c>
      <c r="K122" s="39" t="n">
        <f aca="false">H122*'Assumptions &amp; Data'!I256</f>
        <v>596219.32010718</v>
      </c>
      <c r="L122" s="39" t="n">
        <f aca="false">H122*'Assumptions &amp; Data'!J256</f>
        <v>364697.72845044</v>
      </c>
      <c r="M122" s="39" t="n">
        <f aca="false">I122+J122+K122-L122</f>
        <v>4123478.84279208</v>
      </c>
      <c r="N122" s="39" t="n">
        <f aca="false">E122*'Assumptions &amp; Data'!N256</f>
        <v>1398658.62</v>
      </c>
      <c r="O122" s="39" t="n">
        <f aca="false">E122*'Assumptions &amp; Data'!O256</f>
        <v>369470.4</v>
      </c>
      <c r="P122" s="39" t="n">
        <f aca="false">H122*'Assumptions &amp; Data'!P256</f>
        <v>200788.63701204</v>
      </c>
      <c r="Q122" s="39" t="n">
        <f aca="false">M122-N122-O122-P122</f>
        <v>2154561.18578004</v>
      </c>
      <c r="R122" s="39" t="n">
        <f aca="false">'Assumptions &amp; Data'!L256*'Assumptions &amp; Data'!M256</f>
        <v>568539</v>
      </c>
      <c r="S122" s="37" t="n">
        <f aca="false">'Assumptions &amp; Data'!Q256</f>
        <v>1056000</v>
      </c>
      <c r="T122" s="37" t="n">
        <f aca="false">'Assumptions &amp; Data'!R256</f>
        <v>199597</v>
      </c>
      <c r="U122" s="37" t="n">
        <f aca="false">'Assumptions &amp; Data'!S256</f>
        <v>189599</v>
      </c>
      <c r="V122" s="39" t="n">
        <f aca="false">Q122-R122-S122-T122-U122</f>
        <v>140826.18578004</v>
      </c>
      <c r="W122" s="39" t="n">
        <f aca="false">DAY(EOMONTH(C122,0))</f>
        <v>31</v>
      </c>
      <c r="X122" s="40" t="n">
        <f aca="false">E122/W122</f>
        <v>1146</v>
      </c>
      <c r="Y122" s="39" t="n">
        <f aca="false">R122+S122+T122+U122</f>
        <v>2013735</v>
      </c>
    </row>
    <row r="123" customFormat="false" ht="15" hidden="false" customHeight="false" outlineLevel="0" collapsed="false">
      <c r="A123" s="37" t="str">
        <f aca="false">'Assumptions &amp; Data'!A257</f>
        <v>SM0053</v>
      </c>
      <c r="B123" s="37" t="str">
        <f aca="false">'Assumptions &amp; Data'!B257</f>
        <v>DS005</v>
      </c>
      <c r="C123" s="38" t="n">
        <f aca="false">'Assumptions &amp; Data'!C257</f>
        <v>46054</v>
      </c>
      <c r="D123" s="39" t="str">
        <f aca="false">INDEX('Assumptions &amp; Data'!$B$142:$B$201,MATCH(B123,'Assumptions &amp; Data'!$A$142:$A$201,0))</f>
        <v>Delhi NCR</v>
      </c>
      <c r="E123" s="37" t="n">
        <f aca="false">'Assumptions &amp; Data'!D257</f>
        <v>33929</v>
      </c>
      <c r="F123" s="39" t="n">
        <f aca="false">E123*'Assumptions &amp; Data'!E257</f>
        <v>22114922.2</v>
      </c>
      <c r="G123" s="39" t="n">
        <f aca="false">F123*'Assumptions &amp; Data'!F257</f>
        <v>1464007.84964</v>
      </c>
      <c r="H123" s="39" t="n">
        <f aca="false">F123-G123</f>
        <v>20650914.35036</v>
      </c>
      <c r="I123" s="39" t="n">
        <f aca="false">H123*'Assumptions &amp; Data'!G257</f>
        <v>3483809.25090573</v>
      </c>
      <c r="J123" s="39" t="n">
        <f aca="false">E123*'Assumptions &amp; Data'!H257</f>
        <v>393576.4</v>
      </c>
      <c r="K123" s="39" t="n">
        <f aca="false">H123*'Assumptions &amp; Data'!I257</f>
        <v>638113.253426124</v>
      </c>
      <c r="L123" s="39" t="n">
        <f aca="false">H123*'Assumptions &amp; Data'!J257</f>
        <v>373781.549741516</v>
      </c>
      <c r="M123" s="39" t="n">
        <f aca="false">I123+J123+K123-L123</f>
        <v>4141717.35459034</v>
      </c>
      <c r="N123" s="39" t="n">
        <f aca="false">E123*'Assumptions &amp; Data'!N257</f>
        <v>1278784.01</v>
      </c>
      <c r="O123" s="39" t="n">
        <f aca="false">E123*'Assumptions &amp; Data'!O257</f>
        <v>347093.67</v>
      </c>
      <c r="P123" s="39" t="n">
        <f aca="false">H123*'Assumptions &amp; Data'!P257</f>
        <v>204444.052068564</v>
      </c>
      <c r="Q123" s="39" t="n">
        <f aca="false">M123-N123-O123-P123</f>
        <v>2311395.62252178</v>
      </c>
      <c r="R123" s="39" t="n">
        <f aca="false">'Assumptions &amp; Data'!L257*'Assumptions &amp; Data'!M257</f>
        <v>611204</v>
      </c>
      <c r="S123" s="37" t="n">
        <f aca="false">'Assumptions &amp; Data'!Q257</f>
        <v>1056000</v>
      </c>
      <c r="T123" s="37" t="n">
        <f aca="false">'Assumptions &amp; Data'!R257</f>
        <v>197688</v>
      </c>
      <c r="U123" s="37" t="n">
        <f aca="false">'Assumptions &amp; Data'!S257</f>
        <v>156905</v>
      </c>
      <c r="V123" s="39" t="n">
        <f aca="false">Q123-R123-S123-T123-U123</f>
        <v>289598.622521776</v>
      </c>
      <c r="W123" s="39" t="n">
        <f aca="false">DAY(EOMONTH(C123,0))</f>
        <v>28</v>
      </c>
      <c r="X123" s="40" t="n">
        <f aca="false">E123/W123</f>
        <v>1211.75</v>
      </c>
      <c r="Y123" s="39" t="n">
        <f aca="false">R123+S123+T123+U123</f>
        <v>2021797</v>
      </c>
    </row>
    <row r="124" customFormat="false" ht="15" hidden="false" customHeight="false" outlineLevel="0" collapsed="false">
      <c r="A124" s="37" t="str">
        <f aca="false">'Assumptions &amp; Data'!A258</f>
        <v>SM0054</v>
      </c>
      <c r="B124" s="37" t="str">
        <f aca="false">'Assumptions &amp; Data'!B258</f>
        <v>DS005</v>
      </c>
      <c r="C124" s="38" t="n">
        <f aca="false">'Assumptions &amp; Data'!C258</f>
        <v>46082</v>
      </c>
      <c r="D124" s="39" t="str">
        <f aca="false">INDEX('Assumptions &amp; Data'!$B$142:$B$201,MATCH(B124,'Assumptions &amp; Data'!$A$142:$A$201,0))</f>
        <v>Delhi NCR</v>
      </c>
      <c r="E124" s="37" t="n">
        <f aca="false">'Assumptions &amp; Data'!D258</f>
        <v>39018</v>
      </c>
      <c r="F124" s="39" t="n">
        <f aca="false">E124*'Assumptions &amp; Data'!E258</f>
        <v>24803742.6</v>
      </c>
      <c r="G124" s="39" t="n">
        <f aca="false">F124*'Assumptions &amp; Data'!F258</f>
        <v>1684174.12254</v>
      </c>
      <c r="H124" s="39" t="n">
        <f aca="false">F124-G124</f>
        <v>23119568.47746</v>
      </c>
      <c r="I124" s="39" t="n">
        <f aca="false">H124*'Assumptions &amp; Data'!G258</f>
        <v>3888711.41790877</v>
      </c>
      <c r="J124" s="39" t="n">
        <f aca="false">E124*'Assumptions &amp; Data'!H258</f>
        <v>513476.88</v>
      </c>
      <c r="K124" s="39" t="n">
        <f aca="false">H124*'Assumptions &amp; Data'!I258</f>
        <v>737514.234430974</v>
      </c>
      <c r="L124" s="39" t="n">
        <f aca="false">H124*'Assumptions &amp; Data'!J258</f>
        <v>390720.707269074</v>
      </c>
      <c r="M124" s="39" t="n">
        <f aca="false">I124+J124+K124-L124</f>
        <v>4748981.82507067</v>
      </c>
      <c r="N124" s="39" t="n">
        <f aca="false">E124*'Assumptions &amp; Data'!N258</f>
        <v>1520531.46</v>
      </c>
      <c r="O124" s="39" t="n">
        <f aca="false">E124*'Assumptions &amp; Data'!O258</f>
        <v>399934.5</v>
      </c>
      <c r="P124" s="39" t="n">
        <f aca="false">H124*'Assumptions &amp; Data'!P258</f>
        <v>233507.641622346</v>
      </c>
      <c r="Q124" s="39" t="n">
        <f aca="false">M124-N124-O124-P124</f>
        <v>2595008.22344833</v>
      </c>
      <c r="R124" s="39" t="n">
        <f aca="false">'Assumptions &amp; Data'!L258*'Assumptions &amp; Data'!M258</f>
        <v>653945</v>
      </c>
      <c r="S124" s="37" t="n">
        <f aca="false">'Assumptions &amp; Data'!Q258</f>
        <v>1056000</v>
      </c>
      <c r="T124" s="37" t="n">
        <f aca="false">'Assumptions &amp; Data'!R258</f>
        <v>209992</v>
      </c>
      <c r="U124" s="37" t="n">
        <f aca="false">'Assumptions &amp; Data'!S258</f>
        <v>192045</v>
      </c>
      <c r="V124" s="39" t="n">
        <f aca="false">Q124-R124-S124-T124-U124</f>
        <v>483026.223448326</v>
      </c>
      <c r="W124" s="39" t="n">
        <f aca="false">DAY(EOMONTH(C124,0))</f>
        <v>31</v>
      </c>
      <c r="X124" s="40" t="n">
        <f aca="false">E124/W124</f>
        <v>1258.64516129032</v>
      </c>
      <c r="Y124" s="39" t="n">
        <f aca="false">R124+S124+T124+U124</f>
        <v>2111982</v>
      </c>
    </row>
    <row r="125" customFormat="false" ht="15" hidden="false" customHeight="false" outlineLevel="0" collapsed="false">
      <c r="A125" s="37" t="str">
        <f aca="false">'Assumptions &amp; Data'!A259</f>
        <v>SM0055</v>
      </c>
      <c r="B125" s="37" t="str">
        <f aca="false">'Assumptions &amp; Data'!B259</f>
        <v>DS005</v>
      </c>
      <c r="C125" s="38" t="n">
        <f aca="false">'Assumptions &amp; Data'!C259</f>
        <v>46113</v>
      </c>
      <c r="D125" s="39" t="str">
        <f aca="false">INDEX('Assumptions &amp; Data'!$B$142:$B$201,MATCH(B125,'Assumptions &amp; Data'!$A$142:$A$201,0))</f>
        <v>Delhi NCR</v>
      </c>
      <c r="E125" s="37" t="n">
        <f aca="false">'Assumptions &amp; Data'!D259</f>
        <v>38754</v>
      </c>
      <c r="F125" s="39" t="n">
        <f aca="false">E125*'Assumptions &amp; Data'!E259</f>
        <v>24976953</v>
      </c>
      <c r="G125" s="39" t="n">
        <f aca="false">F125*'Assumptions &amp; Data'!F259</f>
        <v>1655971.9839</v>
      </c>
      <c r="H125" s="39" t="n">
        <f aca="false">F125-G125</f>
        <v>23320981.0161</v>
      </c>
      <c r="I125" s="39" t="n">
        <f aca="false">H125*'Assumptions &amp; Data'!G259</f>
        <v>3962234.67463539</v>
      </c>
      <c r="J125" s="39" t="n">
        <f aca="false">E125*'Assumptions &amp; Data'!H259</f>
        <v>506127.24</v>
      </c>
      <c r="K125" s="39" t="n">
        <f aca="false">H125*'Assumptions &amp; Data'!I259</f>
        <v>781252.86403935</v>
      </c>
      <c r="L125" s="39" t="n">
        <f aca="false">H125*'Assumptions &amp; Data'!J259</f>
        <v>396456.6772737</v>
      </c>
      <c r="M125" s="39" t="n">
        <f aca="false">I125+J125+K125-L125</f>
        <v>4853158.10140104</v>
      </c>
      <c r="N125" s="39" t="n">
        <f aca="false">E125*'Assumptions &amp; Data'!N259</f>
        <v>1502492.58</v>
      </c>
      <c r="O125" s="39" t="n">
        <f aca="false">E125*'Assumptions &amp; Data'!O259</f>
        <v>380564.28</v>
      </c>
      <c r="P125" s="39" t="n">
        <f aca="false">H125*'Assumptions &amp; Data'!P259</f>
        <v>233209.810161</v>
      </c>
      <c r="Q125" s="39" t="n">
        <f aca="false">M125-N125-O125-P125</f>
        <v>2736891.43124004</v>
      </c>
      <c r="R125" s="39" t="n">
        <f aca="false">'Assumptions &amp; Data'!L259*'Assumptions &amp; Data'!M259</f>
        <v>654565</v>
      </c>
      <c r="S125" s="37" t="n">
        <f aca="false">'Assumptions &amp; Data'!Q259</f>
        <v>1056000</v>
      </c>
      <c r="T125" s="37" t="n">
        <f aca="false">'Assumptions &amp; Data'!R259</f>
        <v>196314</v>
      </c>
      <c r="U125" s="37" t="n">
        <f aca="false">'Assumptions &amp; Data'!S259</f>
        <v>173649</v>
      </c>
      <c r="V125" s="39" t="n">
        <f aca="false">Q125-R125-S125-T125-U125</f>
        <v>656363.43124004</v>
      </c>
      <c r="W125" s="39" t="n">
        <f aca="false">DAY(EOMONTH(C125,0))</f>
        <v>30</v>
      </c>
      <c r="X125" s="40" t="n">
        <f aca="false">E125/W125</f>
        <v>1291.8</v>
      </c>
      <c r="Y125" s="39" t="n">
        <f aca="false">R125+S125+T125+U125</f>
        <v>2080528</v>
      </c>
    </row>
    <row r="126" customFormat="false" ht="15" hidden="false" customHeight="false" outlineLevel="0" collapsed="false">
      <c r="A126" s="37" t="str">
        <f aca="false">'Assumptions &amp; Data'!A260</f>
        <v>SM0056</v>
      </c>
      <c r="B126" s="37" t="str">
        <f aca="false">'Assumptions &amp; Data'!B260</f>
        <v>DS005</v>
      </c>
      <c r="C126" s="38" t="n">
        <f aca="false">'Assumptions &amp; Data'!C260</f>
        <v>46143</v>
      </c>
      <c r="D126" s="39" t="str">
        <f aca="false">INDEX('Assumptions &amp; Data'!$B$142:$B$201,MATCH(B126,'Assumptions &amp; Data'!$A$142:$A$201,0))</f>
        <v>Delhi NCR</v>
      </c>
      <c r="E126" s="37" t="n">
        <f aca="false">'Assumptions &amp; Data'!D260</f>
        <v>43612</v>
      </c>
      <c r="F126" s="39" t="n">
        <f aca="false">E126*'Assumptions &amp; Data'!E260</f>
        <v>27445031.6</v>
      </c>
      <c r="G126" s="39" t="n">
        <f aca="false">F126*'Assumptions &amp; Data'!F260</f>
        <v>1877240.16144</v>
      </c>
      <c r="H126" s="39" t="n">
        <f aca="false">F126-G126</f>
        <v>25567791.43856</v>
      </c>
      <c r="I126" s="39" t="n">
        <f aca="false">H126*'Assumptions &amp; Data'!G260</f>
        <v>4262150.83280795</v>
      </c>
      <c r="J126" s="39" t="n">
        <f aca="false">E126*'Assumptions &amp; Data'!H260</f>
        <v>528141.32</v>
      </c>
      <c r="K126" s="39" t="n">
        <f aca="false">H126*'Assumptions &amp; Data'!I260</f>
        <v>823282.884321632</v>
      </c>
      <c r="L126" s="39" t="n">
        <f aca="false">H126*'Assumptions &amp; Data'!J260</f>
        <v>465333.804181792</v>
      </c>
      <c r="M126" s="39" t="n">
        <f aca="false">I126+J126+K126-L126</f>
        <v>5148241.23294779</v>
      </c>
      <c r="N126" s="39" t="n">
        <f aca="false">E126*'Assumptions &amp; Data'!N260</f>
        <v>1662925.56</v>
      </c>
      <c r="O126" s="39" t="n">
        <f aca="false">E126*'Assumptions &amp; Data'!O260</f>
        <v>450948.08</v>
      </c>
      <c r="P126" s="39" t="n">
        <f aca="false">H126*'Assumptions &amp; Data'!P260</f>
        <v>258234.693529456</v>
      </c>
      <c r="Q126" s="39" t="n">
        <f aca="false">M126-N126-O126-P126</f>
        <v>2776132.89941834</v>
      </c>
      <c r="R126" s="39" t="n">
        <f aca="false">'Assumptions &amp; Data'!L260*'Assumptions &amp; Data'!M260</f>
        <v>739690</v>
      </c>
      <c r="S126" s="37" t="n">
        <f aca="false">'Assumptions &amp; Data'!Q260</f>
        <v>1056000</v>
      </c>
      <c r="T126" s="37" t="n">
        <f aca="false">'Assumptions &amp; Data'!R260</f>
        <v>206616</v>
      </c>
      <c r="U126" s="37" t="n">
        <f aca="false">'Assumptions &amp; Data'!S260</f>
        <v>179846</v>
      </c>
      <c r="V126" s="39" t="n">
        <f aca="false">Q126-R126-S126-T126-U126</f>
        <v>593980.899418336</v>
      </c>
      <c r="W126" s="39" t="n">
        <f aca="false">DAY(EOMONTH(C126,0))</f>
        <v>31</v>
      </c>
      <c r="X126" s="40" t="n">
        <f aca="false">E126/W126</f>
        <v>1406.83870967742</v>
      </c>
      <c r="Y126" s="39" t="n">
        <f aca="false">R126+S126+T126+U126</f>
        <v>2182152</v>
      </c>
    </row>
    <row r="127" customFormat="false" ht="15" hidden="false" customHeight="false" outlineLevel="0" collapsed="false">
      <c r="A127" s="37" t="str">
        <f aca="false">'Assumptions &amp; Data'!A261</f>
        <v>SM0057</v>
      </c>
      <c r="B127" s="37" t="str">
        <f aca="false">'Assumptions &amp; Data'!B261</f>
        <v>DS005</v>
      </c>
      <c r="C127" s="38" t="n">
        <f aca="false">'Assumptions &amp; Data'!C261</f>
        <v>46174</v>
      </c>
      <c r="D127" s="39" t="str">
        <f aca="false">INDEX('Assumptions &amp; Data'!$B$142:$B$201,MATCH(B127,'Assumptions &amp; Data'!$A$142:$A$201,0))</f>
        <v>Delhi NCR</v>
      </c>
      <c r="E127" s="37" t="n">
        <f aca="false">'Assumptions &amp; Data'!D261</f>
        <v>40162</v>
      </c>
      <c r="F127" s="39" t="n">
        <f aca="false">E127*'Assumptions &amp; Data'!E261</f>
        <v>25458691.8</v>
      </c>
      <c r="G127" s="39" t="n">
        <f aca="false">F127*'Assumptions &amp; Data'!F261</f>
        <v>1733736.91158</v>
      </c>
      <c r="H127" s="39" t="n">
        <f aca="false">F127-G127</f>
        <v>23724954.88842</v>
      </c>
      <c r="I127" s="39" t="n">
        <f aca="false">H127*'Assumptions &amp; Data'!G261</f>
        <v>4052222.29494214</v>
      </c>
      <c r="J127" s="39" t="n">
        <f aca="false">E127*'Assumptions &amp; Data'!H261</f>
        <v>521302.76</v>
      </c>
      <c r="K127" s="39" t="n">
        <f aca="false">H127*'Assumptions &amp; Data'!I261</f>
        <v>787668.502295544</v>
      </c>
      <c r="L127" s="39" t="n">
        <f aca="false">H127*'Assumptions &amp; Data'!J261</f>
        <v>434166.674458086</v>
      </c>
      <c r="M127" s="39" t="n">
        <f aca="false">I127+J127+K127-L127</f>
        <v>4927026.88277959</v>
      </c>
      <c r="N127" s="39" t="n">
        <f aca="false">E127*'Assumptions &amp; Data'!N261</f>
        <v>1545032.14</v>
      </c>
      <c r="O127" s="39" t="n">
        <f aca="false">E127*'Assumptions &amp; Data'!O261</f>
        <v>416479.94</v>
      </c>
      <c r="P127" s="39" t="n">
        <f aca="false">H127*'Assumptions &amp; Data'!P261</f>
        <v>241994.539861884</v>
      </c>
      <c r="Q127" s="39" t="n">
        <f aca="false">M127-N127-O127-P127</f>
        <v>2723520.26291771</v>
      </c>
      <c r="R127" s="39" t="n">
        <f aca="false">'Assumptions &amp; Data'!L261*'Assumptions &amp; Data'!M261</f>
        <v>655743</v>
      </c>
      <c r="S127" s="37" t="n">
        <f aca="false">'Assumptions &amp; Data'!Q261</f>
        <v>1056000</v>
      </c>
      <c r="T127" s="37" t="n">
        <f aca="false">'Assumptions &amp; Data'!R261</f>
        <v>200213</v>
      </c>
      <c r="U127" s="37" t="n">
        <f aca="false">'Assumptions &amp; Data'!S261</f>
        <v>206432</v>
      </c>
      <c r="V127" s="39" t="n">
        <f aca="false">Q127-R127-S127-T127-U127</f>
        <v>605132.262917711</v>
      </c>
      <c r="W127" s="39" t="n">
        <f aca="false">DAY(EOMONTH(C127,0))</f>
        <v>30</v>
      </c>
      <c r="X127" s="40" t="n">
        <f aca="false">E127/W127</f>
        <v>1338.73333333333</v>
      </c>
      <c r="Y127" s="39" t="n">
        <f aca="false">R127+S127+T127+U127</f>
        <v>2118388</v>
      </c>
    </row>
    <row r="128" customFormat="false" ht="15" hidden="false" customHeight="false" outlineLevel="0" collapsed="false">
      <c r="A128" s="37" t="str">
        <f aca="false">'Assumptions &amp; Data'!A262</f>
        <v>SM0058</v>
      </c>
      <c r="B128" s="37" t="str">
        <f aca="false">'Assumptions &amp; Data'!B262</f>
        <v>DS005</v>
      </c>
      <c r="C128" s="38" t="n">
        <f aca="false">'Assumptions &amp; Data'!C262</f>
        <v>46204</v>
      </c>
      <c r="D128" s="39" t="str">
        <f aca="false">INDEX('Assumptions &amp; Data'!$B$142:$B$201,MATCH(B128,'Assumptions &amp; Data'!$A$142:$A$201,0))</f>
        <v>Delhi NCR</v>
      </c>
      <c r="E128" s="37" t="n">
        <f aca="false">'Assumptions &amp; Data'!D262</f>
        <v>39481</v>
      </c>
      <c r="F128" s="39" t="n">
        <f aca="false">E128*'Assumptions &amp; Data'!E262</f>
        <v>24932251.5</v>
      </c>
      <c r="G128" s="39" t="n">
        <f aca="false">F128*'Assumptions &amp; Data'!F262</f>
        <v>1662981.17505</v>
      </c>
      <c r="H128" s="39" t="n">
        <f aca="false">F128-G128</f>
        <v>23269270.32495</v>
      </c>
      <c r="I128" s="39" t="n">
        <f aca="false">H128*'Assumptions &amp; Data'!G262</f>
        <v>3885968.14426665</v>
      </c>
      <c r="J128" s="39" t="n">
        <f aca="false">E128*'Assumptions &amp; Data'!H262</f>
        <v>489959.21</v>
      </c>
      <c r="K128" s="39" t="n">
        <f aca="false">H128*'Assumptions &amp; Data'!I262</f>
        <v>728328.161170935</v>
      </c>
      <c r="L128" s="39" t="n">
        <f aca="false">H128*'Assumptions &amp; Data'!J262</f>
        <v>418846.8658491</v>
      </c>
      <c r="M128" s="39" t="n">
        <f aca="false">I128+J128+K128-L128</f>
        <v>4685408.64958849</v>
      </c>
      <c r="N128" s="39" t="n">
        <f aca="false">E128*'Assumptions &amp; Data'!N262</f>
        <v>1509753.44</v>
      </c>
      <c r="O128" s="39" t="n">
        <f aca="false">E128*'Assumptions &amp; Data'!O262</f>
        <v>416524.55</v>
      </c>
      <c r="P128" s="39" t="n">
        <f aca="false">H128*'Assumptions &amp; Data'!P262</f>
        <v>228038.84918451</v>
      </c>
      <c r="Q128" s="39" t="n">
        <f aca="false">M128-N128-O128-P128</f>
        <v>2531091.81040398</v>
      </c>
      <c r="R128" s="39" t="n">
        <f aca="false">'Assumptions &amp; Data'!L262*'Assumptions &amp; Data'!M262</f>
        <v>656332</v>
      </c>
      <c r="S128" s="37" t="n">
        <f aca="false">'Assumptions &amp; Data'!Q262</f>
        <v>1056000</v>
      </c>
      <c r="T128" s="37" t="n">
        <f aca="false">'Assumptions &amp; Data'!R262</f>
        <v>200609</v>
      </c>
      <c r="U128" s="37" t="n">
        <f aca="false">'Assumptions &amp; Data'!S262</f>
        <v>159087</v>
      </c>
      <c r="V128" s="39" t="n">
        <f aca="false">Q128-R128-S128-T128-U128</f>
        <v>459063.810403975</v>
      </c>
      <c r="W128" s="39" t="n">
        <f aca="false">DAY(EOMONTH(C128,0))</f>
        <v>31</v>
      </c>
      <c r="X128" s="40" t="n">
        <f aca="false">E128/W128</f>
        <v>1273.58064516129</v>
      </c>
      <c r="Y128" s="39" t="n">
        <f aca="false">R128+S128+T128+U128</f>
        <v>2072028</v>
      </c>
    </row>
    <row r="129" customFormat="false" ht="15" hidden="false" customHeight="false" outlineLevel="0" collapsed="false">
      <c r="A129" s="37" t="str">
        <f aca="false">'Assumptions &amp; Data'!A263</f>
        <v>SM0059</v>
      </c>
      <c r="B129" s="37" t="str">
        <f aca="false">'Assumptions &amp; Data'!B263</f>
        <v>DS005</v>
      </c>
      <c r="C129" s="38" t="n">
        <f aca="false">'Assumptions &amp; Data'!C263</f>
        <v>46235</v>
      </c>
      <c r="D129" s="39" t="str">
        <f aca="false">INDEX('Assumptions &amp; Data'!$B$142:$B$201,MATCH(B129,'Assumptions &amp; Data'!$A$142:$A$201,0))</f>
        <v>Delhi NCR</v>
      </c>
      <c r="E129" s="37" t="n">
        <f aca="false">'Assumptions &amp; Data'!D263</f>
        <v>41268</v>
      </c>
      <c r="F129" s="39" t="n">
        <f aca="false">E129*'Assumptions &amp; Data'!E263</f>
        <v>26019474</v>
      </c>
      <c r="G129" s="39" t="n">
        <f aca="false">F129*'Assumptions &amp; Data'!F263</f>
        <v>1722489.1788</v>
      </c>
      <c r="H129" s="39" t="n">
        <f aca="false">F129-G129</f>
        <v>24296984.8212</v>
      </c>
      <c r="I129" s="39" t="n">
        <f aca="false">H129*'Assumptions &amp; Data'!G263</f>
        <v>4128057.72112188</v>
      </c>
      <c r="J129" s="39" t="n">
        <f aca="false">E129*'Assumptions &amp; Data'!H263</f>
        <v>550515.12</v>
      </c>
      <c r="K129" s="39" t="n">
        <f aca="false">H129*'Assumptions &amp; Data'!I263</f>
        <v>753206.5294572</v>
      </c>
      <c r="L129" s="39" t="n">
        <f aca="false">H129*'Assumptions &amp; Data'!J263</f>
        <v>403329.94803192</v>
      </c>
      <c r="M129" s="39" t="n">
        <f aca="false">I129+J129+K129-L129</f>
        <v>5028449.42254716</v>
      </c>
      <c r="N129" s="39" t="n">
        <f aca="false">E129*'Assumptions &amp; Data'!N263</f>
        <v>1571485.44</v>
      </c>
      <c r="O129" s="39" t="n">
        <f aca="false">E129*'Assumptions &amp; Data'!O263</f>
        <v>437853.48</v>
      </c>
      <c r="P129" s="39" t="n">
        <f aca="false">H129*'Assumptions &amp; Data'!P263</f>
        <v>242969.848212</v>
      </c>
      <c r="Q129" s="39" t="n">
        <f aca="false">M129-N129-O129-P129</f>
        <v>2776140.65433516</v>
      </c>
      <c r="R129" s="39" t="n">
        <f aca="false">'Assumptions &amp; Data'!L263*'Assumptions &amp; Data'!M263</f>
        <v>699303</v>
      </c>
      <c r="S129" s="37" t="n">
        <f aca="false">'Assumptions &amp; Data'!Q263</f>
        <v>1056000</v>
      </c>
      <c r="T129" s="37" t="n">
        <f aca="false">'Assumptions &amp; Data'!R263</f>
        <v>195118</v>
      </c>
      <c r="U129" s="37" t="n">
        <f aca="false">'Assumptions &amp; Data'!S263</f>
        <v>180103</v>
      </c>
      <c r="V129" s="39" t="n">
        <f aca="false">Q129-R129-S129-T129-U129</f>
        <v>645616.65433516</v>
      </c>
      <c r="W129" s="39" t="n">
        <f aca="false">DAY(EOMONTH(C129,0))</f>
        <v>31</v>
      </c>
      <c r="X129" s="40" t="n">
        <f aca="false">E129/W129</f>
        <v>1331.22580645161</v>
      </c>
      <c r="Y129" s="39" t="n">
        <f aca="false">R129+S129+T129+U129</f>
        <v>2130524</v>
      </c>
    </row>
    <row r="130" customFormat="false" ht="15" hidden="false" customHeight="false" outlineLevel="0" collapsed="false">
      <c r="A130" s="37" t="str">
        <f aca="false">'Assumptions &amp; Data'!A264</f>
        <v>SM0060</v>
      </c>
      <c r="B130" s="37" t="str">
        <f aca="false">'Assumptions &amp; Data'!B264</f>
        <v>DS005</v>
      </c>
      <c r="C130" s="38" t="n">
        <f aca="false">'Assumptions &amp; Data'!C264</f>
        <v>46266</v>
      </c>
      <c r="D130" s="39" t="str">
        <f aca="false">INDEX('Assumptions &amp; Data'!$B$142:$B$201,MATCH(B130,'Assumptions &amp; Data'!$A$142:$A$201,0))</f>
        <v>Delhi NCR</v>
      </c>
      <c r="E130" s="37" t="n">
        <f aca="false">'Assumptions &amp; Data'!D264</f>
        <v>40812</v>
      </c>
      <c r="F130" s="39" t="n">
        <f aca="false">E130*'Assumptions &amp; Data'!E264</f>
        <v>26637992.4</v>
      </c>
      <c r="G130" s="39" t="n">
        <f aca="false">F130*'Assumptions &amp; Data'!F264</f>
        <v>1864659.468</v>
      </c>
      <c r="H130" s="39" t="n">
        <f aca="false">F130-G130</f>
        <v>24773332.932</v>
      </c>
      <c r="I130" s="39" t="n">
        <f aca="false">H130*'Assumptions &amp; Data'!G264</f>
        <v>4047962.6010888</v>
      </c>
      <c r="J130" s="39" t="n">
        <f aca="false">E130*'Assumptions &amp; Data'!H264</f>
        <v>528923.52</v>
      </c>
      <c r="K130" s="39" t="n">
        <f aca="false">H130*'Assumptions &amp; Data'!I264</f>
        <v>800178.6537036</v>
      </c>
      <c r="L130" s="39" t="n">
        <f aca="false">H130*'Assumptions &amp; Data'!J264</f>
        <v>438487.9928964</v>
      </c>
      <c r="M130" s="39" t="n">
        <f aca="false">I130+J130+K130-L130</f>
        <v>4938576.781896</v>
      </c>
      <c r="N130" s="39" t="n">
        <f aca="false">E130*'Assumptions &amp; Data'!N264</f>
        <v>1578608.16</v>
      </c>
      <c r="O130" s="39" t="n">
        <f aca="false">E130*'Assumptions &amp; Data'!O264</f>
        <v>393835.8</v>
      </c>
      <c r="P130" s="39" t="n">
        <f aca="false">H130*'Assumptions &amp; Data'!P264</f>
        <v>250210.6626132</v>
      </c>
      <c r="Q130" s="39" t="n">
        <f aca="false">M130-N130-O130-P130</f>
        <v>2715922.1592828</v>
      </c>
      <c r="R130" s="39" t="n">
        <f aca="false">'Assumptions &amp; Data'!L264*'Assumptions &amp; Data'!M264</f>
        <v>699930</v>
      </c>
      <c r="S130" s="37" t="n">
        <f aca="false">'Assumptions &amp; Data'!Q264</f>
        <v>1056000</v>
      </c>
      <c r="T130" s="37" t="n">
        <f aca="false">'Assumptions &amp; Data'!R264</f>
        <v>203777</v>
      </c>
      <c r="U130" s="37" t="n">
        <f aca="false">'Assumptions &amp; Data'!S264</f>
        <v>168725</v>
      </c>
      <c r="V130" s="39" t="n">
        <f aca="false">Q130-R130-S130-T130-U130</f>
        <v>587490.159282801</v>
      </c>
      <c r="W130" s="39" t="n">
        <f aca="false">DAY(EOMONTH(C130,0))</f>
        <v>30</v>
      </c>
      <c r="X130" s="40" t="n">
        <f aca="false">E130/W130</f>
        <v>1360.4</v>
      </c>
      <c r="Y130" s="39" t="n">
        <f aca="false">R130+S130+T130+U130</f>
        <v>2128432</v>
      </c>
    </row>
    <row r="131" customFormat="false" ht="15" hidden="false" customHeight="false" outlineLevel="0" collapsed="false">
      <c r="A131" s="37" t="str">
        <f aca="false">'Assumptions &amp; Data'!A265</f>
        <v>SM0061</v>
      </c>
      <c r="B131" s="37" t="str">
        <f aca="false">'Assumptions &amp; Data'!B265</f>
        <v>DS006</v>
      </c>
      <c r="C131" s="38" t="n">
        <f aca="false">'Assumptions &amp; Data'!C265</f>
        <v>45931</v>
      </c>
      <c r="D131" s="39" t="str">
        <f aca="false">INDEX('Assumptions &amp; Data'!$B$142:$B$201,MATCH(B131,'Assumptions &amp; Data'!$A$142:$A$201,0))</f>
        <v>Delhi NCR</v>
      </c>
      <c r="E131" s="37" t="n">
        <f aca="false">'Assumptions &amp; Data'!D265</f>
        <v>56895</v>
      </c>
      <c r="F131" s="39" t="n">
        <f aca="false">E131*'Assumptions &amp; Data'!E265</f>
        <v>34888014</v>
      </c>
      <c r="G131" s="39" t="n">
        <f aca="false">F131*'Assumptions &amp; Data'!F265</f>
        <v>2243299.3002</v>
      </c>
      <c r="H131" s="39" t="n">
        <f aca="false">F131-G131</f>
        <v>32644714.6998</v>
      </c>
      <c r="I131" s="39" t="n">
        <f aca="false">H131*'Assumptions &amp; Data'!G265</f>
        <v>5370055.5681171</v>
      </c>
      <c r="J131" s="39" t="n">
        <f aca="false">E131*'Assumptions &amp; Data'!H265</f>
        <v>782875.2</v>
      </c>
      <c r="K131" s="39" t="n">
        <f aca="false">H131*'Assumptions &amp; Data'!I265</f>
        <v>1057688.75627352</v>
      </c>
      <c r="L131" s="39" t="n">
        <f aca="false">H131*'Assumptions &amp; Data'!J265</f>
        <v>796531.03867512</v>
      </c>
      <c r="M131" s="39" t="n">
        <f aca="false">I131+J131+K131-L131</f>
        <v>6414088.4857155</v>
      </c>
      <c r="N131" s="39" t="n">
        <f aca="false">E131*'Assumptions &amp; Data'!N265</f>
        <v>2326436.55</v>
      </c>
      <c r="O131" s="39" t="n">
        <f aca="false">E131*'Assumptions &amp; Data'!O265</f>
        <v>583742.7</v>
      </c>
      <c r="P131" s="39" t="n">
        <f aca="false">H131*'Assumptions &amp; Data'!P265</f>
        <v>329711.61846798</v>
      </c>
      <c r="Q131" s="39" t="n">
        <f aca="false">M131-N131-O131-P131</f>
        <v>3174197.61724752</v>
      </c>
      <c r="R131" s="39" t="n">
        <f aca="false">'Assumptions &amp; Data'!L265*'Assumptions &amp; Data'!M265</f>
        <v>1155000</v>
      </c>
      <c r="S131" s="37" t="n">
        <f aca="false">'Assumptions &amp; Data'!Q265</f>
        <v>859500</v>
      </c>
      <c r="T131" s="37" t="n">
        <f aca="false">'Assumptions &amp; Data'!R265</f>
        <v>169872</v>
      </c>
      <c r="U131" s="37" t="n">
        <f aca="false">'Assumptions &amp; Data'!S265</f>
        <v>285078</v>
      </c>
      <c r="V131" s="39" t="n">
        <f aca="false">Q131-R131-S131-T131-U131</f>
        <v>704747.61724752</v>
      </c>
      <c r="W131" s="39" t="n">
        <f aca="false">DAY(EOMONTH(C131,0))</f>
        <v>31</v>
      </c>
      <c r="X131" s="40" t="n">
        <f aca="false">E131/W131</f>
        <v>1835.32258064516</v>
      </c>
      <c r="Y131" s="39" t="n">
        <f aca="false">R131+S131+T131+U131</f>
        <v>2469450</v>
      </c>
    </row>
    <row r="132" customFormat="false" ht="15" hidden="false" customHeight="false" outlineLevel="0" collapsed="false">
      <c r="A132" s="37" t="str">
        <f aca="false">'Assumptions &amp; Data'!A266</f>
        <v>SM0062</v>
      </c>
      <c r="B132" s="37" t="str">
        <f aca="false">'Assumptions &amp; Data'!B266</f>
        <v>DS006</v>
      </c>
      <c r="C132" s="38" t="n">
        <f aca="false">'Assumptions &amp; Data'!C266</f>
        <v>45962</v>
      </c>
      <c r="D132" s="39" t="str">
        <f aca="false">INDEX('Assumptions &amp; Data'!$B$142:$B$201,MATCH(B132,'Assumptions &amp; Data'!$A$142:$A$201,0))</f>
        <v>Delhi NCR</v>
      </c>
      <c r="E132" s="37" t="n">
        <f aca="false">'Assumptions &amp; Data'!D266</f>
        <v>60816</v>
      </c>
      <c r="F132" s="39" t="n">
        <f aca="false">E132*'Assumptions &amp; Data'!E266</f>
        <v>37827552</v>
      </c>
      <c r="G132" s="39" t="n">
        <f aca="false">F132*'Assumptions &amp; Data'!F266</f>
        <v>2333959.9584</v>
      </c>
      <c r="H132" s="39" t="n">
        <f aca="false">F132-G132</f>
        <v>35493592.0416</v>
      </c>
      <c r="I132" s="39" t="n">
        <f aca="false">H132*'Assumptions &amp; Data'!G266</f>
        <v>5948726.02617216</v>
      </c>
      <c r="J132" s="39" t="n">
        <f aca="false">E132*'Assumptions &amp; Data'!H266</f>
        <v>788783.52</v>
      </c>
      <c r="K132" s="39" t="n">
        <f aca="false">H132*'Assumptions &amp; Data'!I266</f>
        <v>1213880.84782272</v>
      </c>
      <c r="L132" s="39" t="n">
        <f aca="false">H132*'Assumptions &amp; Data'!J266</f>
        <v>855395.56820256</v>
      </c>
      <c r="M132" s="39" t="n">
        <f aca="false">I132+J132+K132-L132</f>
        <v>7095994.82579232</v>
      </c>
      <c r="N132" s="39" t="n">
        <f aca="false">E132*'Assumptions &amp; Data'!N266</f>
        <v>2433248.16</v>
      </c>
      <c r="O132" s="39" t="n">
        <f aca="false">E132*'Assumptions &amp; Data'!O266</f>
        <v>651339.36</v>
      </c>
      <c r="P132" s="39" t="n">
        <f aca="false">H132*'Assumptions &amp; Data'!P266</f>
        <v>362034.63882432</v>
      </c>
      <c r="Q132" s="39" t="n">
        <f aca="false">M132-N132-O132-P132</f>
        <v>3649372.666968</v>
      </c>
      <c r="R132" s="39" t="n">
        <f aca="false">'Assumptions &amp; Data'!L266*'Assumptions &amp; Data'!M266</f>
        <v>1261140</v>
      </c>
      <c r="S132" s="37" t="n">
        <f aca="false">'Assumptions &amp; Data'!Q266</f>
        <v>859500</v>
      </c>
      <c r="T132" s="37" t="n">
        <f aca="false">'Assumptions &amp; Data'!R266</f>
        <v>175272</v>
      </c>
      <c r="U132" s="37" t="n">
        <f aca="false">'Assumptions &amp; Data'!S266</f>
        <v>328833</v>
      </c>
      <c r="V132" s="39" t="n">
        <f aca="false">Q132-R132-S132-T132-U132</f>
        <v>1024627.666968</v>
      </c>
      <c r="W132" s="39" t="n">
        <f aca="false">DAY(EOMONTH(C132,0))</f>
        <v>30</v>
      </c>
      <c r="X132" s="40" t="n">
        <f aca="false">E132/W132</f>
        <v>2027.2</v>
      </c>
      <c r="Y132" s="39" t="n">
        <f aca="false">R132+S132+T132+U132</f>
        <v>2624745</v>
      </c>
    </row>
    <row r="133" customFormat="false" ht="15" hidden="false" customHeight="false" outlineLevel="0" collapsed="false">
      <c r="A133" s="37" t="str">
        <f aca="false">'Assumptions &amp; Data'!A267</f>
        <v>SM0063</v>
      </c>
      <c r="B133" s="37" t="str">
        <f aca="false">'Assumptions &amp; Data'!B267</f>
        <v>DS006</v>
      </c>
      <c r="C133" s="38" t="n">
        <f aca="false">'Assumptions &amp; Data'!C267</f>
        <v>45992</v>
      </c>
      <c r="D133" s="39" t="str">
        <f aca="false">INDEX('Assumptions &amp; Data'!$B$142:$B$201,MATCH(B133,'Assumptions &amp; Data'!$A$142:$A$201,0))</f>
        <v>Delhi NCR</v>
      </c>
      <c r="E133" s="37" t="n">
        <f aca="false">'Assumptions &amp; Data'!D267</f>
        <v>58072</v>
      </c>
      <c r="F133" s="39" t="n">
        <f aca="false">E133*'Assumptions &amp; Data'!E267</f>
        <v>36120784</v>
      </c>
      <c r="G133" s="39" t="n">
        <f aca="false">F133*'Assumptions &amp; Data'!F267</f>
        <v>2275609.392</v>
      </c>
      <c r="H133" s="39" t="n">
        <f aca="false">F133-G133</f>
        <v>33845174.608</v>
      </c>
      <c r="I133" s="39" t="n">
        <f aca="false">H133*'Assumptions &amp; Data'!G267</f>
        <v>5604760.9150848</v>
      </c>
      <c r="J133" s="39" t="n">
        <f aca="false">E133*'Assumptions &amp; Data'!H267</f>
        <v>759581.76</v>
      </c>
      <c r="K133" s="39" t="n">
        <f aca="false">H133*'Assumptions &amp; Data'!I267</f>
        <v>1160889.4890544</v>
      </c>
      <c r="L133" s="39" t="n">
        <f aca="false">H133*'Assumptions &amp; Data'!J267</f>
        <v>798746.1207488</v>
      </c>
      <c r="M133" s="39" t="n">
        <f aca="false">I133+J133+K133-L133</f>
        <v>6726486.0433904</v>
      </c>
      <c r="N133" s="39" t="n">
        <f aca="false">E133*'Assumptions &amp; Data'!N267</f>
        <v>2363530.4</v>
      </c>
      <c r="O133" s="39" t="n">
        <f aca="false">E133*'Assumptions &amp; Data'!O267</f>
        <v>593495.84</v>
      </c>
      <c r="P133" s="39" t="n">
        <f aca="false">H133*'Assumptions &amp; Data'!P267</f>
        <v>345220.7810016</v>
      </c>
      <c r="Q133" s="39" t="n">
        <f aca="false">M133-N133-O133-P133</f>
        <v>3424239.0223888</v>
      </c>
      <c r="R133" s="39" t="n">
        <f aca="false">'Assumptions &amp; Data'!L267*'Assumptions &amp; Data'!M267</f>
        <v>1178128</v>
      </c>
      <c r="S133" s="37" t="n">
        <f aca="false">'Assumptions &amp; Data'!Q267</f>
        <v>859500</v>
      </c>
      <c r="T133" s="37" t="n">
        <f aca="false">'Assumptions &amp; Data'!R267</f>
        <v>179212</v>
      </c>
      <c r="U133" s="37" t="n">
        <f aca="false">'Assumptions &amp; Data'!S267</f>
        <v>304424</v>
      </c>
      <c r="V133" s="39" t="n">
        <f aca="false">Q133-R133-S133-T133-U133</f>
        <v>902975.0223888</v>
      </c>
      <c r="W133" s="39" t="n">
        <f aca="false">DAY(EOMONTH(C133,0))</f>
        <v>31</v>
      </c>
      <c r="X133" s="40" t="n">
        <f aca="false">E133/W133</f>
        <v>1873.29032258065</v>
      </c>
      <c r="Y133" s="39" t="n">
        <f aca="false">R133+S133+T133+U133</f>
        <v>2521264</v>
      </c>
    </row>
    <row r="134" customFormat="false" ht="15" hidden="false" customHeight="false" outlineLevel="0" collapsed="false">
      <c r="A134" s="37" t="str">
        <f aca="false">'Assumptions &amp; Data'!A268</f>
        <v>SM0064</v>
      </c>
      <c r="B134" s="37" t="str">
        <f aca="false">'Assumptions &amp; Data'!B268</f>
        <v>DS006</v>
      </c>
      <c r="C134" s="38" t="n">
        <f aca="false">'Assumptions &amp; Data'!C268</f>
        <v>46023</v>
      </c>
      <c r="D134" s="39" t="str">
        <f aca="false">INDEX('Assumptions &amp; Data'!$B$142:$B$201,MATCH(B134,'Assumptions &amp; Data'!$A$142:$A$201,0))</f>
        <v>Delhi NCR</v>
      </c>
      <c r="E134" s="37" t="n">
        <f aca="false">'Assumptions &amp; Data'!D268</f>
        <v>55393</v>
      </c>
      <c r="F134" s="39" t="n">
        <f aca="false">E134*'Assumptions &amp; Data'!E268</f>
        <v>34122088</v>
      </c>
      <c r="G134" s="39" t="n">
        <f aca="false">F134*'Assumptions &amp; Data'!F268</f>
        <v>2136042.7088</v>
      </c>
      <c r="H134" s="39" t="n">
        <f aca="false">F134-G134</f>
        <v>31986045.2912</v>
      </c>
      <c r="I134" s="39" t="n">
        <f aca="false">H134*'Assumptions &amp; Data'!G268</f>
        <v>5364059.79533424</v>
      </c>
      <c r="J134" s="39" t="n">
        <f aca="false">E134*'Assumptions &amp; Data'!H268</f>
        <v>720662.93</v>
      </c>
      <c r="K134" s="39" t="n">
        <f aca="false">H134*'Assumptions &amp; Data'!I268</f>
        <v>1097121.35348816</v>
      </c>
      <c r="L134" s="39" t="n">
        <f aca="false">H134*'Assumptions &amp; Data'!J268</f>
        <v>748473.45981408</v>
      </c>
      <c r="M134" s="39" t="n">
        <f aca="false">I134+J134+K134-L134</f>
        <v>6433370.61900832</v>
      </c>
      <c r="N134" s="39" t="n">
        <f aca="false">E134*'Assumptions &amp; Data'!N268</f>
        <v>2237323.27</v>
      </c>
      <c r="O134" s="39" t="n">
        <f aca="false">E134*'Assumptions &amp; Data'!O268</f>
        <v>577195.06</v>
      </c>
      <c r="P134" s="39" t="n">
        <f aca="false">H134*'Assumptions &amp; Data'!P268</f>
        <v>329456.26649936</v>
      </c>
      <c r="Q134" s="39" t="n">
        <f aca="false">M134-N134-O134-P134</f>
        <v>3289396.02250896</v>
      </c>
      <c r="R134" s="39" t="n">
        <f aca="false">'Assumptions &amp; Data'!L268*'Assumptions &amp; Data'!M268</f>
        <v>1073907</v>
      </c>
      <c r="S134" s="37" t="n">
        <f aca="false">'Assumptions &amp; Data'!Q268</f>
        <v>859500</v>
      </c>
      <c r="T134" s="37" t="n">
        <f aca="false">'Assumptions &amp; Data'!R268</f>
        <v>189056</v>
      </c>
      <c r="U134" s="37" t="n">
        <f aca="false">'Assumptions &amp; Data'!S268</f>
        <v>269906</v>
      </c>
      <c r="V134" s="39" t="n">
        <f aca="false">Q134-R134-S134-T134-U134</f>
        <v>897027.022508958</v>
      </c>
      <c r="W134" s="39" t="n">
        <f aca="false">DAY(EOMONTH(C134,0))</f>
        <v>31</v>
      </c>
      <c r="X134" s="40" t="n">
        <f aca="false">E134/W134</f>
        <v>1786.87096774194</v>
      </c>
      <c r="Y134" s="39" t="n">
        <f aca="false">R134+S134+T134+U134</f>
        <v>2392369</v>
      </c>
    </row>
    <row r="135" customFormat="false" ht="15" hidden="false" customHeight="false" outlineLevel="0" collapsed="false">
      <c r="A135" s="37" t="str">
        <f aca="false">'Assumptions &amp; Data'!A269</f>
        <v>SM0065</v>
      </c>
      <c r="B135" s="37" t="str">
        <f aca="false">'Assumptions &amp; Data'!B269</f>
        <v>DS006</v>
      </c>
      <c r="C135" s="38" t="n">
        <f aca="false">'Assumptions &amp; Data'!C269</f>
        <v>46054</v>
      </c>
      <c r="D135" s="39" t="str">
        <f aca="false">INDEX('Assumptions &amp; Data'!$B$142:$B$201,MATCH(B135,'Assumptions &amp; Data'!$A$142:$A$201,0))</f>
        <v>Delhi NCR</v>
      </c>
      <c r="E135" s="37" t="n">
        <f aca="false">'Assumptions &amp; Data'!D269</f>
        <v>51700</v>
      </c>
      <c r="F135" s="39" t="n">
        <f aca="false">E135*'Assumptions &amp; Data'!E269</f>
        <v>32183250</v>
      </c>
      <c r="G135" s="39" t="n">
        <f aca="false">F135*'Assumptions &amp; Data'!F269</f>
        <v>1969614.9</v>
      </c>
      <c r="H135" s="39" t="n">
        <f aca="false">F135-G135</f>
        <v>30213635.1</v>
      </c>
      <c r="I135" s="39" t="n">
        <f aca="false">H135*'Assumptions &amp; Data'!G269</f>
        <v>5000356.60905</v>
      </c>
      <c r="J135" s="39" t="n">
        <f aca="false">E135*'Assumptions &amp; Data'!H269</f>
        <v>674168</v>
      </c>
      <c r="K135" s="39" t="n">
        <f aca="false">H135*'Assumptions &amp; Data'!I269</f>
        <v>997049.9583</v>
      </c>
      <c r="L135" s="39" t="n">
        <f aca="false">H135*'Assumptions &amp; Data'!J269</f>
        <v>776490.42207</v>
      </c>
      <c r="M135" s="39" t="n">
        <f aca="false">I135+J135+K135-L135</f>
        <v>5895084.14528</v>
      </c>
      <c r="N135" s="39" t="n">
        <f aca="false">E135*'Assumptions &amp; Data'!N269</f>
        <v>2073170</v>
      </c>
      <c r="O135" s="39" t="n">
        <f aca="false">E135*'Assumptions &amp; Data'!O269</f>
        <v>526823</v>
      </c>
      <c r="P135" s="39" t="n">
        <f aca="false">H135*'Assumptions &amp; Data'!P269</f>
        <v>311200.44153</v>
      </c>
      <c r="Q135" s="39" t="n">
        <f aca="false">M135-N135-O135-P135</f>
        <v>2983890.70375</v>
      </c>
      <c r="R135" s="39" t="n">
        <f aca="false">'Assumptions &amp; Data'!L269*'Assumptions &amp; Data'!M269</f>
        <v>1180256</v>
      </c>
      <c r="S135" s="37" t="n">
        <f aca="false">'Assumptions &amp; Data'!Q269</f>
        <v>859500</v>
      </c>
      <c r="T135" s="37" t="n">
        <f aca="false">'Assumptions &amp; Data'!R269</f>
        <v>177711</v>
      </c>
      <c r="U135" s="37" t="n">
        <f aca="false">'Assumptions &amp; Data'!S269</f>
        <v>265462</v>
      </c>
      <c r="V135" s="39" t="n">
        <f aca="false">Q135-R135-S135-T135-U135</f>
        <v>500961.70375</v>
      </c>
      <c r="W135" s="39" t="n">
        <f aca="false">DAY(EOMONTH(C135,0))</f>
        <v>28</v>
      </c>
      <c r="X135" s="40" t="n">
        <f aca="false">E135/W135</f>
        <v>1846.42857142857</v>
      </c>
      <c r="Y135" s="39" t="n">
        <f aca="false">R135+S135+T135+U135</f>
        <v>2482929</v>
      </c>
    </row>
    <row r="136" customFormat="false" ht="15" hidden="false" customHeight="false" outlineLevel="0" collapsed="false">
      <c r="A136" s="37" t="str">
        <f aca="false">'Assumptions &amp; Data'!A270</f>
        <v>SM0066</v>
      </c>
      <c r="B136" s="37" t="str">
        <f aca="false">'Assumptions &amp; Data'!B270</f>
        <v>DS006</v>
      </c>
      <c r="C136" s="38" t="n">
        <f aca="false">'Assumptions &amp; Data'!C270</f>
        <v>46082</v>
      </c>
      <c r="D136" s="39" t="str">
        <f aca="false">INDEX('Assumptions &amp; Data'!$B$142:$B$201,MATCH(B136,'Assumptions &amp; Data'!$A$142:$A$201,0))</f>
        <v>Delhi NCR</v>
      </c>
      <c r="E136" s="37" t="n">
        <f aca="false">'Assumptions &amp; Data'!D270</f>
        <v>63783</v>
      </c>
      <c r="F136" s="39" t="n">
        <f aca="false">E136*'Assumptions &amp; Data'!E270</f>
        <v>39800592</v>
      </c>
      <c r="G136" s="39" t="n">
        <f aca="false">F136*'Assumptions &amp; Data'!F270</f>
        <v>2459676.5856</v>
      </c>
      <c r="H136" s="39" t="n">
        <f aca="false">F136-G136</f>
        <v>37340915.4144</v>
      </c>
      <c r="I136" s="39" t="n">
        <f aca="false">H136*'Assumptions &amp; Data'!G270</f>
        <v>6198591.9587904</v>
      </c>
      <c r="J136" s="39" t="n">
        <f aca="false">E136*'Assumptions &amp; Data'!H270</f>
        <v>843849.09</v>
      </c>
      <c r="K136" s="39" t="n">
        <f aca="false">H136*'Assumptions &amp; Data'!I270</f>
        <v>1258388.84946528</v>
      </c>
      <c r="L136" s="39" t="n">
        <f aca="false">H136*'Assumptions &amp; Data'!J270</f>
        <v>892447.87840416</v>
      </c>
      <c r="M136" s="39" t="n">
        <f aca="false">I136+J136+K136-L136</f>
        <v>7408382.01985152</v>
      </c>
      <c r="N136" s="39" t="n">
        <f aca="false">E136*'Assumptions &amp; Data'!N270</f>
        <v>2499017.94</v>
      </c>
      <c r="O136" s="39" t="n">
        <f aca="false">E136*'Assumptions &amp; Data'!O270</f>
        <v>634640.85</v>
      </c>
      <c r="P136" s="39" t="n">
        <f aca="false">H136*'Assumptions &amp; Data'!P270</f>
        <v>388345.52030976</v>
      </c>
      <c r="Q136" s="39" t="n">
        <f aca="false">M136-N136-O136-P136</f>
        <v>3886377.70954176</v>
      </c>
      <c r="R136" s="39" t="n">
        <f aca="false">'Assumptions &amp; Data'!L270*'Assumptions &amp; Data'!M270</f>
        <v>1286795</v>
      </c>
      <c r="S136" s="37" t="n">
        <f aca="false">'Assumptions &amp; Data'!Q270</f>
        <v>859500</v>
      </c>
      <c r="T136" s="37" t="n">
        <f aca="false">'Assumptions &amp; Data'!R270</f>
        <v>169270</v>
      </c>
      <c r="U136" s="37" t="n">
        <f aca="false">'Assumptions &amp; Data'!S270</f>
        <v>290534</v>
      </c>
      <c r="V136" s="39" t="n">
        <f aca="false">Q136-R136-S136-T136-U136</f>
        <v>1280278.70954176</v>
      </c>
      <c r="W136" s="39" t="n">
        <f aca="false">DAY(EOMONTH(C136,0))</f>
        <v>31</v>
      </c>
      <c r="X136" s="40" t="n">
        <f aca="false">E136/W136</f>
        <v>2057.51612903226</v>
      </c>
      <c r="Y136" s="39" t="n">
        <f aca="false">R136+S136+T136+U136</f>
        <v>2606099</v>
      </c>
    </row>
    <row r="137" customFormat="false" ht="15" hidden="false" customHeight="false" outlineLevel="0" collapsed="false">
      <c r="A137" s="37" t="str">
        <f aca="false">'Assumptions &amp; Data'!A271</f>
        <v>SM0067</v>
      </c>
      <c r="B137" s="37" t="str">
        <f aca="false">'Assumptions &amp; Data'!B271</f>
        <v>DS006</v>
      </c>
      <c r="C137" s="38" t="n">
        <f aca="false">'Assumptions &amp; Data'!C271</f>
        <v>46113</v>
      </c>
      <c r="D137" s="39" t="str">
        <f aca="false">INDEX('Assumptions &amp; Data'!$B$142:$B$201,MATCH(B137,'Assumptions &amp; Data'!$A$142:$A$201,0))</f>
        <v>Delhi NCR</v>
      </c>
      <c r="E137" s="37" t="n">
        <f aca="false">'Assumptions &amp; Data'!D271</f>
        <v>57217</v>
      </c>
      <c r="F137" s="39" t="n">
        <f aca="false">E137*'Assumptions &amp; Data'!E271</f>
        <v>35354384.3</v>
      </c>
      <c r="G137" s="39" t="n">
        <f aca="false">F137*'Assumptions &amp; Data'!F271</f>
        <v>2050554.2894</v>
      </c>
      <c r="H137" s="39" t="n">
        <f aca="false">F137-G137</f>
        <v>33303830.0106</v>
      </c>
      <c r="I137" s="39" t="n">
        <f aca="false">H137*'Assumptions &amp; Data'!G271</f>
        <v>5431854.67472886</v>
      </c>
      <c r="J137" s="39" t="n">
        <f aca="false">E137*'Assumptions &amp; Data'!H271</f>
        <v>730088.92</v>
      </c>
      <c r="K137" s="39" t="n">
        <f aca="false">H137*'Assumptions &amp; Data'!I271</f>
        <v>1052401.02833496</v>
      </c>
      <c r="L137" s="39" t="n">
        <f aca="false">H137*'Assumptions &amp; Data'!J271</f>
        <v>769318.47324486</v>
      </c>
      <c r="M137" s="39" t="n">
        <f aca="false">I137+J137+K137-L137</f>
        <v>6445026.14981896</v>
      </c>
      <c r="N137" s="39" t="n">
        <f aca="false">E137*'Assumptions &amp; Data'!N271</f>
        <v>2333309.26</v>
      </c>
      <c r="O137" s="39" t="n">
        <f aca="false">E137*'Assumptions &amp; Data'!O271</f>
        <v>584757.74</v>
      </c>
      <c r="P137" s="39" t="n">
        <f aca="false">H137*'Assumptions &amp; Data'!P271</f>
        <v>323047.15110282</v>
      </c>
      <c r="Q137" s="39" t="n">
        <f aca="false">M137-N137-O137-P137</f>
        <v>3203911.99871614</v>
      </c>
      <c r="R137" s="39" t="n">
        <f aca="false">'Assumptions &amp; Data'!L271*'Assumptions &amp; Data'!M271</f>
        <v>1203555</v>
      </c>
      <c r="S137" s="37" t="n">
        <f aca="false">'Assumptions &amp; Data'!Q271</f>
        <v>859500</v>
      </c>
      <c r="T137" s="37" t="n">
        <f aca="false">'Assumptions &amp; Data'!R271</f>
        <v>185274</v>
      </c>
      <c r="U137" s="37" t="n">
        <f aca="false">'Assumptions &amp; Data'!S271</f>
        <v>268550</v>
      </c>
      <c r="V137" s="39" t="n">
        <f aca="false">Q137-R137-S137-T137-U137</f>
        <v>687032.99871614</v>
      </c>
      <c r="W137" s="39" t="n">
        <f aca="false">DAY(EOMONTH(C137,0))</f>
        <v>30</v>
      </c>
      <c r="X137" s="40" t="n">
        <f aca="false">E137/W137</f>
        <v>1907.23333333333</v>
      </c>
      <c r="Y137" s="39" t="n">
        <f aca="false">R137+S137+T137+U137</f>
        <v>2516879</v>
      </c>
    </row>
    <row r="138" customFormat="false" ht="15" hidden="false" customHeight="false" outlineLevel="0" collapsed="false">
      <c r="A138" s="37" t="str">
        <f aca="false">'Assumptions &amp; Data'!A272</f>
        <v>SM0068</v>
      </c>
      <c r="B138" s="37" t="str">
        <f aca="false">'Assumptions &amp; Data'!B272</f>
        <v>DS006</v>
      </c>
      <c r="C138" s="38" t="n">
        <f aca="false">'Assumptions &amp; Data'!C272</f>
        <v>46143</v>
      </c>
      <c r="D138" s="39" t="str">
        <f aca="false">INDEX('Assumptions &amp; Data'!$B$142:$B$201,MATCH(B138,'Assumptions &amp; Data'!$A$142:$A$201,0))</f>
        <v>Delhi NCR</v>
      </c>
      <c r="E138" s="37" t="n">
        <f aca="false">'Assumptions &amp; Data'!D272</f>
        <v>69853</v>
      </c>
      <c r="F138" s="39" t="n">
        <f aca="false">E138*'Assumptions &amp; Data'!E272</f>
        <v>44831655.4</v>
      </c>
      <c r="G138" s="39" t="n">
        <f aca="false">F138*'Assumptions &amp; Data'!F272</f>
        <v>2842326.95236</v>
      </c>
      <c r="H138" s="39" t="n">
        <f aca="false">F138-G138</f>
        <v>41989328.44764</v>
      </c>
      <c r="I138" s="39" t="n">
        <f aca="false">H138*'Assumptions &amp; Data'!G272</f>
        <v>6940835.99239489</v>
      </c>
      <c r="J138" s="39" t="n">
        <f aca="false">E138*'Assumptions &amp; Data'!H272</f>
        <v>970956.7</v>
      </c>
      <c r="K138" s="39" t="n">
        <f aca="false">H138*'Assumptions &amp; Data'!I272</f>
        <v>1347857.44316924</v>
      </c>
      <c r="L138" s="39" t="n">
        <f aca="false">H138*'Assumptions &amp; Data'!J272</f>
        <v>1011942.81558812</v>
      </c>
      <c r="M138" s="39" t="n">
        <f aca="false">I138+J138+K138-L138</f>
        <v>8247707.31997601</v>
      </c>
      <c r="N138" s="39" t="n">
        <f aca="false">E138*'Assumptions &amp; Data'!N272</f>
        <v>2831142.09</v>
      </c>
      <c r="O138" s="39" t="n">
        <f aca="false">E138*'Assumptions &amp; Data'!O272</f>
        <v>718787.37</v>
      </c>
      <c r="P138" s="39" t="n">
        <f aca="false">H138*'Assumptions &amp; Data'!P272</f>
        <v>415694.351631636</v>
      </c>
      <c r="Q138" s="39" t="n">
        <f aca="false">M138-N138-O138-P138</f>
        <v>4282083.50834438</v>
      </c>
      <c r="R138" s="39" t="n">
        <f aca="false">'Assumptions &amp; Data'!L272*'Assumptions &amp; Data'!M272</f>
        <v>1415978</v>
      </c>
      <c r="S138" s="37" t="n">
        <f aca="false">'Assumptions &amp; Data'!Q272</f>
        <v>859500</v>
      </c>
      <c r="T138" s="37" t="n">
        <f aca="false">'Assumptions &amp; Data'!R272</f>
        <v>179497</v>
      </c>
      <c r="U138" s="37" t="n">
        <f aca="false">'Assumptions &amp; Data'!S272</f>
        <v>361385</v>
      </c>
      <c r="V138" s="39" t="n">
        <f aca="false">Q138-R138-S138-T138-U138</f>
        <v>1465723.50834438</v>
      </c>
      <c r="W138" s="39" t="n">
        <f aca="false">DAY(EOMONTH(C138,0))</f>
        <v>31</v>
      </c>
      <c r="X138" s="40" t="n">
        <f aca="false">E138/W138</f>
        <v>2253.32258064516</v>
      </c>
      <c r="Y138" s="39" t="n">
        <f aca="false">R138+S138+T138+U138</f>
        <v>2816360</v>
      </c>
    </row>
    <row r="139" customFormat="false" ht="15" hidden="false" customHeight="false" outlineLevel="0" collapsed="false">
      <c r="A139" s="37" t="str">
        <f aca="false">'Assumptions &amp; Data'!A273</f>
        <v>SM0069</v>
      </c>
      <c r="B139" s="37" t="str">
        <f aca="false">'Assumptions &amp; Data'!B273</f>
        <v>DS006</v>
      </c>
      <c r="C139" s="38" t="n">
        <f aca="false">'Assumptions &amp; Data'!C273</f>
        <v>46174</v>
      </c>
      <c r="D139" s="39" t="str">
        <f aca="false">INDEX('Assumptions &amp; Data'!$B$142:$B$201,MATCH(B139,'Assumptions &amp; Data'!$A$142:$A$201,0))</f>
        <v>Delhi NCR</v>
      </c>
      <c r="E139" s="37" t="n">
        <f aca="false">'Assumptions &amp; Data'!D273</f>
        <v>62011</v>
      </c>
      <c r="F139" s="39" t="n">
        <f aca="false">E139*'Assumptions &amp; Data'!E273</f>
        <v>37653079.2</v>
      </c>
      <c r="G139" s="39" t="n">
        <f aca="false">F139*'Assumptions &amp; Data'!F273</f>
        <v>2262950.05992</v>
      </c>
      <c r="H139" s="39" t="n">
        <f aca="false">F139-G139</f>
        <v>35390129.14008</v>
      </c>
      <c r="I139" s="39" t="n">
        <f aca="false">H139*'Assumptions &amp; Data'!G273</f>
        <v>5818137.23062915</v>
      </c>
      <c r="J139" s="39" t="n">
        <f aca="false">E139*'Assumptions &amp; Data'!H273</f>
        <v>783819.04</v>
      </c>
      <c r="K139" s="39" t="n">
        <f aca="false">H139*'Assumptions &amp; Data'!I273</f>
        <v>1185569.32619268</v>
      </c>
      <c r="L139" s="39" t="n">
        <f aca="false">H139*'Assumptions &amp; Data'!J273</f>
        <v>859980.138103944</v>
      </c>
      <c r="M139" s="39" t="n">
        <f aca="false">I139+J139+K139-L139</f>
        <v>6927545.45871789</v>
      </c>
      <c r="N139" s="39" t="n">
        <f aca="false">E139*'Assumptions &amp; Data'!N273</f>
        <v>2485400.88</v>
      </c>
      <c r="O139" s="39" t="n">
        <f aca="false">E139*'Assumptions &amp; Data'!O273</f>
        <v>652975.83</v>
      </c>
      <c r="P139" s="39" t="n">
        <f aca="false">H139*'Assumptions &amp; Data'!P273</f>
        <v>375135.368884848</v>
      </c>
      <c r="Q139" s="39" t="n">
        <f aca="false">M139-N139-O139-P139</f>
        <v>3414033.37983304</v>
      </c>
      <c r="R139" s="39" t="n">
        <f aca="false">'Assumptions &amp; Data'!L273*'Assumptions &amp; Data'!M273</f>
        <v>1311486</v>
      </c>
      <c r="S139" s="37" t="n">
        <f aca="false">'Assumptions &amp; Data'!Q273</f>
        <v>859500</v>
      </c>
      <c r="T139" s="37" t="n">
        <f aca="false">'Assumptions &amp; Data'!R273</f>
        <v>187606</v>
      </c>
      <c r="U139" s="37" t="n">
        <f aca="false">'Assumptions &amp; Data'!S273</f>
        <v>284419</v>
      </c>
      <c r="V139" s="39" t="n">
        <f aca="false">Q139-R139-S139-T139-U139</f>
        <v>771022.379833041</v>
      </c>
      <c r="W139" s="39" t="n">
        <f aca="false">DAY(EOMONTH(C139,0))</f>
        <v>30</v>
      </c>
      <c r="X139" s="40" t="n">
        <f aca="false">E139/W139</f>
        <v>2067.03333333333</v>
      </c>
      <c r="Y139" s="39" t="n">
        <f aca="false">R139+S139+T139+U139</f>
        <v>2643011</v>
      </c>
    </row>
    <row r="140" customFormat="false" ht="15" hidden="false" customHeight="false" outlineLevel="0" collapsed="false">
      <c r="A140" s="37" t="str">
        <f aca="false">'Assumptions &amp; Data'!A274</f>
        <v>SM0070</v>
      </c>
      <c r="B140" s="37" t="str">
        <f aca="false">'Assumptions &amp; Data'!B274</f>
        <v>DS006</v>
      </c>
      <c r="C140" s="38" t="n">
        <f aca="false">'Assumptions &amp; Data'!C274</f>
        <v>46204</v>
      </c>
      <c r="D140" s="39" t="str">
        <f aca="false">INDEX('Assumptions &amp; Data'!$B$142:$B$201,MATCH(B140,'Assumptions &amp; Data'!$A$142:$A$201,0))</f>
        <v>Delhi NCR</v>
      </c>
      <c r="E140" s="37" t="n">
        <f aca="false">'Assumptions &amp; Data'!D274</f>
        <v>62407</v>
      </c>
      <c r="F140" s="39" t="n">
        <f aca="false">E140*'Assumptions &amp; Data'!E274</f>
        <v>39122948.3</v>
      </c>
      <c r="G140" s="39" t="n">
        <f aca="false">F140*'Assumptions &amp; Data'!F274</f>
        <v>2445184.26875</v>
      </c>
      <c r="H140" s="39" t="n">
        <f aca="false">F140-G140</f>
        <v>36677764.03125</v>
      </c>
      <c r="I140" s="39" t="n">
        <f aca="false">H140*'Assumptions &amp; Data'!G274</f>
        <v>6088508.8291875</v>
      </c>
      <c r="J140" s="39" t="n">
        <f aca="false">E140*'Assumptions &amp; Data'!H274</f>
        <v>821276.12</v>
      </c>
      <c r="K140" s="39" t="n">
        <f aca="false">H140*'Assumptions &amp; Data'!I274</f>
        <v>1144346.237775</v>
      </c>
      <c r="L140" s="39" t="n">
        <f aca="false">H140*'Assumptions &amp; Data'!J274</f>
        <v>883934.113153125</v>
      </c>
      <c r="M140" s="39" t="n">
        <f aca="false">I140+J140+K140-L140</f>
        <v>7170197.07380938</v>
      </c>
      <c r="N140" s="39" t="n">
        <f aca="false">E140*'Assumptions &amp; Data'!N274</f>
        <v>2475061.62</v>
      </c>
      <c r="O140" s="39" t="n">
        <f aca="false">E140*'Assumptions &amp; Data'!O274</f>
        <v>650905.01</v>
      </c>
      <c r="P140" s="39" t="n">
        <f aca="false">H140*'Assumptions &amp; Data'!P274</f>
        <v>363109.863909375</v>
      </c>
      <c r="Q140" s="39" t="n">
        <f aca="false">M140-N140-O140-P140</f>
        <v>3681120.5799</v>
      </c>
      <c r="R140" s="39" t="n">
        <f aca="false">'Assumptions &amp; Data'!L274*'Assumptions &amp; Data'!M274</f>
        <v>1291492</v>
      </c>
      <c r="S140" s="37" t="n">
        <f aca="false">'Assumptions &amp; Data'!Q274</f>
        <v>859500</v>
      </c>
      <c r="T140" s="37" t="n">
        <f aca="false">'Assumptions &amp; Data'!R274</f>
        <v>173488</v>
      </c>
      <c r="U140" s="37" t="n">
        <f aca="false">'Assumptions &amp; Data'!S274</f>
        <v>272699</v>
      </c>
      <c r="V140" s="39" t="n">
        <f aca="false">Q140-R140-S140-T140-U140</f>
        <v>1083941.5799</v>
      </c>
      <c r="W140" s="39" t="n">
        <f aca="false">DAY(EOMONTH(C140,0))</f>
        <v>31</v>
      </c>
      <c r="X140" s="40" t="n">
        <f aca="false">E140/W140</f>
        <v>2013.12903225806</v>
      </c>
      <c r="Y140" s="39" t="n">
        <f aca="false">R140+S140+T140+U140</f>
        <v>2597179</v>
      </c>
    </row>
    <row r="141" customFormat="false" ht="15" hidden="false" customHeight="false" outlineLevel="0" collapsed="false">
      <c r="A141" s="37" t="str">
        <f aca="false">'Assumptions &amp; Data'!A275</f>
        <v>SM0071</v>
      </c>
      <c r="B141" s="37" t="str">
        <f aca="false">'Assumptions &amp; Data'!B275</f>
        <v>DS006</v>
      </c>
      <c r="C141" s="38" t="n">
        <f aca="false">'Assumptions &amp; Data'!C275</f>
        <v>46235</v>
      </c>
      <c r="D141" s="39" t="str">
        <f aca="false">INDEX('Assumptions &amp; Data'!$B$142:$B$201,MATCH(B141,'Assumptions &amp; Data'!$A$142:$A$201,0))</f>
        <v>Delhi NCR</v>
      </c>
      <c r="E141" s="37" t="n">
        <f aca="false">'Assumptions &amp; Data'!D275</f>
        <v>60281</v>
      </c>
      <c r="F141" s="39" t="n">
        <f aca="false">E141*'Assumptions &amp; Data'!E275</f>
        <v>38453249.9</v>
      </c>
      <c r="G141" s="39" t="n">
        <f aca="false">F141*'Assumptions &amp; Data'!F275</f>
        <v>2095702.11955</v>
      </c>
      <c r="H141" s="39" t="n">
        <f aca="false">F141-G141</f>
        <v>36357547.78045</v>
      </c>
      <c r="I141" s="39" t="n">
        <f aca="false">H141*'Assumptions &amp; Data'!G275</f>
        <v>5991723.87421816</v>
      </c>
      <c r="J141" s="39" t="n">
        <f aca="false">E141*'Assumptions &amp; Data'!H275</f>
        <v>828863.75</v>
      </c>
      <c r="K141" s="39" t="n">
        <f aca="false">H141*'Assumptions &amp; Data'!I275</f>
        <v>1203434.83153289</v>
      </c>
      <c r="L141" s="39" t="n">
        <f aca="false">H141*'Assumptions &amp; Data'!J275</f>
        <v>879852.65628689</v>
      </c>
      <c r="M141" s="39" t="n">
        <f aca="false">I141+J141+K141-L141</f>
        <v>7144169.79946417</v>
      </c>
      <c r="N141" s="39" t="n">
        <f aca="false">E141*'Assumptions &amp; Data'!N275</f>
        <v>2426310.25</v>
      </c>
      <c r="O141" s="39" t="n">
        <f aca="false">E141*'Assumptions &amp; Data'!O275</f>
        <v>630539.26</v>
      </c>
      <c r="P141" s="39" t="n">
        <f aca="false">H141*'Assumptions &amp; Data'!P275</f>
        <v>363575.4778045</v>
      </c>
      <c r="Q141" s="39" t="n">
        <f aca="false">M141-N141-O141-P141</f>
        <v>3723744.81165967</v>
      </c>
      <c r="R141" s="39" t="n">
        <f aca="false">'Assumptions &amp; Data'!L275*'Assumptions &amp; Data'!M275</f>
        <v>1229078</v>
      </c>
      <c r="S141" s="37" t="n">
        <f aca="false">'Assumptions &amp; Data'!Q275</f>
        <v>859500</v>
      </c>
      <c r="T141" s="37" t="n">
        <f aca="false">'Assumptions &amp; Data'!R275</f>
        <v>180202</v>
      </c>
      <c r="U141" s="37" t="n">
        <f aca="false">'Assumptions &amp; Data'!S275</f>
        <v>271436</v>
      </c>
      <c r="V141" s="39" t="n">
        <f aca="false">Q141-R141-S141-T141-U141</f>
        <v>1183528.81165967</v>
      </c>
      <c r="W141" s="39" t="n">
        <f aca="false">DAY(EOMONTH(C141,0))</f>
        <v>31</v>
      </c>
      <c r="X141" s="40" t="n">
        <f aca="false">E141/W141</f>
        <v>1944.54838709677</v>
      </c>
      <c r="Y141" s="39" t="n">
        <f aca="false">R141+S141+T141+U141</f>
        <v>2540216</v>
      </c>
    </row>
    <row r="142" customFormat="false" ht="15" hidden="false" customHeight="false" outlineLevel="0" collapsed="false">
      <c r="A142" s="37" t="str">
        <f aca="false">'Assumptions &amp; Data'!A276</f>
        <v>SM0072</v>
      </c>
      <c r="B142" s="37" t="str">
        <f aca="false">'Assumptions &amp; Data'!B276</f>
        <v>DS006</v>
      </c>
      <c r="C142" s="38" t="n">
        <f aca="false">'Assumptions &amp; Data'!C276</f>
        <v>46266</v>
      </c>
      <c r="D142" s="39" t="str">
        <f aca="false">INDEX('Assumptions &amp; Data'!$B$142:$B$201,MATCH(B142,'Assumptions &amp; Data'!$A$142:$A$201,0))</f>
        <v>Delhi NCR</v>
      </c>
      <c r="E142" s="37" t="n">
        <f aca="false">'Assumptions &amp; Data'!D276</f>
        <v>63706</v>
      </c>
      <c r="F142" s="39" t="n">
        <f aca="false">E142*'Assumptions &amp; Data'!E276</f>
        <v>39523202.4</v>
      </c>
      <c r="G142" s="39" t="n">
        <f aca="false">F142*'Assumptions &amp; Data'!F276</f>
        <v>2379296.78448</v>
      </c>
      <c r="H142" s="39" t="n">
        <f aca="false">F142-G142</f>
        <v>37143905.61552</v>
      </c>
      <c r="I142" s="39" t="n">
        <f aca="false">H142*'Assumptions &amp; Data'!G276</f>
        <v>6158459.55105322</v>
      </c>
      <c r="J142" s="39" t="n">
        <f aca="false">E142*'Assumptions &amp; Data'!H276</f>
        <v>858756.88</v>
      </c>
      <c r="K142" s="39" t="n">
        <f aca="false">H142*'Assumptions &amp; Data'!I276</f>
        <v>1222034.49475061</v>
      </c>
      <c r="L142" s="39" t="n">
        <f aca="false">H142*'Assumptions &amp; Data'!J276</f>
        <v>902596.906457136</v>
      </c>
      <c r="M142" s="39" t="n">
        <f aca="false">I142+J142+K142-L142</f>
        <v>7336654.01934669</v>
      </c>
      <c r="N142" s="39" t="n">
        <f aca="false">E142*'Assumptions &amp; Data'!N276</f>
        <v>2529765.26</v>
      </c>
      <c r="O142" s="39" t="n">
        <f aca="false">E142*'Assumptions &amp; Data'!O276</f>
        <v>687387.74</v>
      </c>
      <c r="P142" s="39" t="n">
        <f aca="false">H142*'Assumptions &amp; Data'!P276</f>
        <v>375153.446716752</v>
      </c>
      <c r="Q142" s="39" t="n">
        <f aca="false">M142-N142-O142-P142</f>
        <v>3744347.57262994</v>
      </c>
      <c r="R142" s="39" t="n">
        <f aca="false">'Assumptions &amp; Data'!L276*'Assumptions &amp; Data'!M276</f>
        <v>1357440</v>
      </c>
      <c r="S142" s="37" t="n">
        <f aca="false">'Assumptions &amp; Data'!Q276</f>
        <v>859500</v>
      </c>
      <c r="T142" s="37" t="n">
        <f aca="false">'Assumptions &amp; Data'!R276</f>
        <v>180411</v>
      </c>
      <c r="U142" s="37" t="n">
        <f aca="false">'Assumptions &amp; Data'!S276</f>
        <v>312697</v>
      </c>
      <c r="V142" s="39" t="n">
        <f aca="false">Q142-R142-S142-T142-U142</f>
        <v>1034299.57262994</v>
      </c>
      <c r="W142" s="39" t="n">
        <f aca="false">DAY(EOMONTH(C142,0))</f>
        <v>30</v>
      </c>
      <c r="X142" s="40" t="n">
        <f aca="false">E142/W142</f>
        <v>2123.53333333333</v>
      </c>
      <c r="Y142" s="39" t="n">
        <f aca="false">R142+S142+T142+U142</f>
        <v>2710048</v>
      </c>
    </row>
    <row r="143" customFormat="false" ht="15" hidden="false" customHeight="false" outlineLevel="0" collapsed="false">
      <c r="A143" s="37" t="str">
        <f aca="false">'Assumptions &amp; Data'!A277</f>
        <v>SM0073</v>
      </c>
      <c r="B143" s="37" t="str">
        <f aca="false">'Assumptions &amp; Data'!B277</f>
        <v>DS007</v>
      </c>
      <c r="C143" s="38" t="n">
        <f aca="false">'Assumptions &amp; Data'!C277</f>
        <v>45931</v>
      </c>
      <c r="D143" s="39" t="str">
        <f aca="false">INDEX('Assumptions &amp; Data'!$B$142:$B$201,MATCH(B143,'Assumptions &amp; Data'!$A$142:$A$201,0))</f>
        <v>Delhi NCR</v>
      </c>
      <c r="E143" s="37" t="n">
        <f aca="false">'Assumptions &amp; Data'!D277</f>
        <v>2191</v>
      </c>
      <c r="F143" s="39" t="n">
        <f aca="false">E143*'Assumptions &amp; Data'!E277</f>
        <v>1355790.8</v>
      </c>
      <c r="G143" s="39" t="n">
        <f aca="false">F143*'Assumptions &amp; Data'!F277</f>
        <v>110225.79204</v>
      </c>
      <c r="H143" s="39" t="n">
        <f aca="false">F143-G143</f>
        <v>1245565.00796</v>
      </c>
      <c r="I143" s="39" t="n">
        <f aca="false">H143*'Assumptions &amp; Data'!G277</f>
        <v>209628.590839668</v>
      </c>
      <c r="J143" s="39" t="n">
        <f aca="false">E143*'Assumptions &amp; Data'!H277</f>
        <v>28636.37</v>
      </c>
      <c r="K143" s="39" t="n">
        <f aca="false">H143*'Assumptions &amp; Data'!I277</f>
        <v>23790.291652036</v>
      </c>
      <c r="L143" s="39" t="n">
        <f aca="false">H143*'Assumptions &amp; Data'!J277</f>
        <v>46335.018296112</v>
      </c>
      <c r="M143" s="39" t="n">
        <f aca="false">I143+J143+K143-L143</f>
        <v>215720.234195592</v>
      </c>
      <c r="N143" s="39" t="n">
        <f aca="false">E143*'Assumptions &amp; Data'!N277</f>
        <v>100523.08</v>
      </c>
      <c r="O143" s="39" t="n">
        <f aca="false">E143*'Assumptions &amp; Data'!O277</f>
        <v>22479.66</v>
      </c>
      <c r="P143" s="39" t="n">
        <f aca="false">H143*'Assumptions &amp; Data'!P277</f>
        <v>12829.319581988</v>
      </c>
      <c r="Q143" s="39" t="n">
        <f aca="false">M143-N143-O143-P143</f>
        <v>79888.174613604</v>
      </c>
      <c r="R143" s="39" t="n">
        <f aca="false">'Assumptions &amp; Data'!L277*'Assumptions &amp; Data'!M277</f>
        <v>336000</v>
      </c>
      <c r="S143" s="37" t="n">
        <f aca="false">'Assumptions &amp; Data'!Q277</f>
        <v>805500</v>
      </c>
      <c r="T143" s="37" t="n">
        <f aca="false">'Assumptions &amp; Data'!R277</f>
        <v>186847</v>
      </c>
      <c r="U143" s="37" t="n">
        <f aca="false">'Assumptions &amp; Data'!S277</f>
        <v>42265</v>
      </c>
      <c r="V143" s="39" t="n">
        <f aca="false">Q143-R143-S143-T143-U143</f>
        <v>-1290723.8253864</v>
      </c>
      <c r="W143" s="39" t="n">
        <f aca="false">DAY(EOMONTH(C143,0))</f>
        <v>31</v>
      </c>
      <c r="X143" s="40" t="n">
        <f aca="false">E143/W143</f>
        <v>70.6774193548387</v>
      </c>
      <c r="Y143" s="39" t="n">
        <f aca="false">R143+S143+T143+U143</f>
        <v>1370612</v>
      </c>
    </row>
    <row r="144" customFormat="false" ht="15" hidden="false" customHeight="false" outlineLevel="0" collapsed="false">
      <c r="A144" s="37" t="str">
        <f aca="false">'Assumptions &amp; Data'!A278</f>
        <v>SM0074</v>
      </c>
      <c r="B144" s="37" t="str">
        <f aca="false">'Assumptions &amp; Data'!B278</f>
        <v>DS007</v>
      </c>
      <c r="C144" s="38" t="n">
        <f aca="false">'Assumptions &amp; Data'!C278</f>
        <v>45962</v>
      </c>
      <c r="D144" s="39" t="str">
        <f aca="false">INDEX('Assumptions &amp; Data'!$B$142:$B$201,MATCH(B144,'Assumptions &amp; Data'!$A$142:$A$201,0))</f>
        <v>Delhi NCR</v>
      </c>
      <c r="E144" s="37" t="n">
        <f aca="false">'Assumptions &amp; Data'!D278</f>
        <v>2125</v>
      </c>
      <c r="F144" s="39" t="n">
        <f aca="false">E144*'Assumptions &amp; Data'!E278</f>
        <v>1323662.5</v>
      </c>
      <c r="G144" s="39" t="n">
        <f aca="false">F144*'Assumptions &amp; Data'!F278</f>
        <v>108407.95875</v>
      </c>
      <c r="H144" s="39" t="n">
        <f aca="false">F144-G144</f>
        <v>1215254.54125</v>
      </c>
      <c r="I144" s="39" t="n">
        <f aca="false">H144*'Assumptions &amp; Data'!G278</f>
        <v>203190.559297</v>
      </c>
      <c r="J144" s="39" t="n">
        <f aca="false">E144*'Assumptions &amp; Data'!H278</f>
        <v>27603.75</v>
      </c>
      <c r="K144" s="39" t="n">
        <f aca="false">H144*'Assumptions &amp; Data'!I278</f>
        <v>21266.954471875</v>
      </c>
      <c r="L144" s="39" t="n">
        <f aca="false">H144*'Assumptions &amp; Data'!J278</f>
        <v>44964.41802625</v>
      </c>
      <c r="M144" s="39" t="n">
        <f aca="false">I144+J144+K144-L144</f>
        <v>207096.845742625</v>
      </c>
      <c r="N144" s="39" t="n">
        <f aca="false">E144*'Assumptions &amp; Data'!N278</f>
        <v>95922.5</v>
      </c>
      <c r="O144" s="39" t="n">
        <f aca="false">E144*'Assumptions &amp; Data'!O278</f>
        <v>21802.5</v>
      </c>
      <c r="P144" s="39" t="n">
        <f aca="false">H144*'Assumptions &amp; Data'!P278</f>
        <v>12274.070866625</v>
      </c>
      <c r="Q144" s="39" t="n">
        <f aca="false">M144-N144-O144-P144</f>
        <v>77097.774876</v>
      </c>
      <c r="R144" s="39" t="n">
        <f aca="false">'Assumptions &amp; Data'!L278*'Assumptions &amp; Data'!M278</f>
        <v>336304</v>
      </c>
      <c r="S144" s="37" t="n">
        <f aca="false">'Assumptions &amp; Data'!Q278</f>
        <v>805500</v>
      </c>
      <c r="T144" s="37" t="n">
        <f aca="false">'Assumptions &amp; Data'!R278</f>
        <v>176257</v>
      </c>
      <c r="U144" s="37" t="n">
        <f aca="false">'Assumptions &amp; Data'!S278</f>
        <v>40805</v>
      </c>
      <c r="V144" s="39" t="n">
        <f aca="false">Q144-R144-S144-T144-U144</f>
        <v>-1281768.225124</v>
      </c>
      <c r="W144" s="39" t="n">
        <f aca="false">DAY(EOMONTH(C144,0))</f>
        <v>30</v>
      </c>
      <c r="X144" s="40" t="n">
        <f aca="false">E144/W144</f>
        <v>70.8333333333333</v>
      </c>
      <c r="Y144" s="39" t="n">
        <f aca="false">R144+S144+T144+U144</f>
        <v>1358866</v>
      </c>
    </row>
    <row r="145" customFormat="false" ht="15" hidden="false" customHeight="false" outlineLevel="0" collapsed="false">
      <c r="A145" s="37" t="str">
        <f aca="false">'Assumptions &amp; Data'!A279</f>
        <v>SM0075</v>
      </c>
      <c r="B145" s="37" t="str">
        <f aca="false">'Assumptions &amp; Data'!B279</f>
        <v>DS007</v>
      </c>
      <c r="C145" s="38" t="n">
        <f aca="false">'Assumptions &amp; Data'!C279</f>
        <v>45992</v>
      </c>
      <c r="D145" s="39" t="str">
        <f aca="false">INDEX('Assumptions &amp; Data'!$B$142:$B$201,MATCH(B145,'Assumptions &amp; Data'!$A$142:$A$201,0))</f>
        <v>Delhi NCR</v>
      </c>
      <c r="E145" s="37" t="n">
        <f aca="false">'Assumptions &amp; Data'!D279</f>
        <v>2240</v>
      </c>
      <c r="F145" s="39" t="n">
        <f aca="false">E145*'Assumptions &amp; Data'!E279</f>
        <v>1392384</v>
      </c>
      <c r="G145" s="39" t="n">
        <f aca="false">F145*'Assumptions &amp; Data'!F279</f>
        <v>118491.8784</v>
      </c>
      <c r="H145" s="39" t="n">
        <f aca="false">F145-G145</f>
        <v>1273892.1216</v>
      </c>
      <c r="I145" s="39" t="n">
        <f aca="false">H145*'Assumptions &amp; Data'!G279</f>
        <v>214013.8764288</v>
      </c>
      <c r="J145" s="39" t="n">
        <f aca="false">E145*'Assumptions &amp; Data'!H279</f>
        <v>28313.6</v>
      </c>
      <c r="K145" s="39" t="n">
        <f aca="false">H145*'Assumptions &amp; Data'!I279</f>
        <v>21273.99843072</v>
      </c>
      <c r="L145" s="39" t="n">
        <f aca="false">H145*'Assumptions &amp; Data'!J279</f>
        <v>48790.06825728</v>
      </c>
      <c r="M145" s="39" t="n">
        <f aca="false">I145+J145+K145-L145</f>
        <v>214811.40660224</v>
      </c>
      <c r="N145" s="39" t="n">
        <f aca="false">E145*'Assumptions &amp; Data'!N279</f>
        <v>103241.6</v>
      </c>
      <c r="O145" s="39" t="n">
        <f aca="false">E145*'Assumptions &amp; Data'!O279</f>
        <v>22848</v>
      </c>
      <c r="P145" s="39" t="n">
        <f aca="false">H145*'Assumptions &amp; Data'!P279</f>
        <v>12866.31042816</v>
      </c>
      <c r="Q145" s="39" t="n">
        <f aca="false">M145-N145-O145-P145</f>
        <v>75855.49617408</v>
      </c>
      <c r="R145" s="39" t="n">
        <f aca="false">'Assumptions &amp; Data'!L279*'Assumptions &amp; Data'!M279</f>
        <v>336608</v>
      </c>
      <c r="S145" s="37" t="n">
        <f aca="false">'Assumptions &amp; Data'!Q279</f>
        <v>805500</v>
      </c>
      <c r="T145" s="37" t="n">
        <f aca="false">'Assumptions &amp; Data'!R279</f>
        <v>171574</v>
      </c>
      <c r="U145" s="37" t="n">
        <f aca="false">'Assumptions &amp; Data'!S279</f>
        <v>42583</v>
      </c>
      <c r="V145" s="39" t="n">
        <f aca="false">Q145-R145-S145-T145-U145</f>
        <v>-1280409.50382592</v>
      </c>
      <c r="W145" s="39" t="n">
        <f aca="false">DAY(EOMONTH(C145,0))</f>
        <v>31</v>
      </c>
      <c r="X145" s="40" t="n">
        <f aca="false">E145/W145</f>
        <v>72.258064516129</v>
      </c>
      <c r="Y145" s="39" t="n">
        <f aca="false">R145+S145+T145+U145</f>
        <v>1356265</v>
      </c>
    </row>
    <row r="146" customFormat="false" ht="15" hidden="false" customHeight="false" outlineLevel="0" collapsed="false">
      <c r="A146" s="37" t="str">
        <f aca="false">'Assumptions &amp; Data'!A280</f>
        <v>SM0076</v>
      </c>
      <c r="B146" s="37" t="str">
        <f aca="false">'Assumptions &amp; Data'!B280</f>
        <v>DS007</v>
      </c>
      <c r="C146" s="38" t="n">
        <f aca="false">'Assumptions &amp; Data'!C280</f>
        <v>46023</v>
      </c>
      <c r="D146" s="39" t="str">
        <f aca="false">INDEX('Assumptions &amp; Data'!$B$142:$B$201,MATCH(B146,'Assumptions &amp; Data'!$A$142:$A$201,0))</f>
        <v>Delhi NCR</v>
      </c>
      <c r="E146" s="37" t="n">
        <f aca="false">'Assumptions &amp; Data'!D280</f>
        <v>2086</v>
      </c>
      <c r="F146" s="39" t="n">
        <f aca="false">E146*'Assumptions &amp; Data'!E280</f>
        <v>1309799.4</v>
      </c>
      <c r="G146" s="39" t="n">
        <f aca="false">F146*'Assumptions &amp; Data'!F280</f>
        <v>105307.87176</v>
      </c>
      <c r="H146" s="39" t="n">
        <f aca="false">F146-G146</f>
        <v>1204491.52824</v>
      </c>
      <c r="I146" s="39" t="n">
        <f aca="false">H146*'Assumptions &amp; Data'!G280</f>
        <v>201029.636063256</v>
      </c>
      <c r="J146" s="39" t="n">
        <f aca="false">E146*'Assumptions &amp; Data'!H280</f>
        <v>27556.06</v>
      </c>
      <c r="K146" s="39" t="n">
        <f aca="false">H146*'Assumptions &amp; Data'!I280</f>
        <v>19753.661063136</v>
      </c>
      <c r="L146" s="39" t="n">
        <f aca="false">H146*'Assumptions &amp; Data'!J280</f>
        <v>43723.042475112</v>
      </c>
      <c r="M146" s="39" t="n">
        <f aca="false">I146+J146+K146-L146</f>
        <v>204616.31465128</v>
      </c>
      <c r="N146" s="39" t="n">
        <f aca="false">E146*'Assumptions &amp; Data'!N280</f>
        <v>94766.98</v>
      </c>
      <c r="O146" s="39" t="n">
        <f aca="false">E146*'Assumptions &amp; Data'!O280</f>
        <v>21944.72</v>
      </c>
      <c r="P146" s="39" t="n">
        <f aca="false">H146*'Assumptions &amp; Data'!P280</f>
        <v>11804.016976752</v>
      </c>
      <c r="Q146" s="39" t="n">
        <f aca="false">M146-N146-O146-P146</f>
        <v>76100.597674528</v>
      </c>
      <c r="R146" s="39" t="n">
        <f aca="false">'Assumptions &amp; Data'!L280*'Assumptions &amp; Data'!M280</f>
        <v>336912</v>
      </c>
      <c r="S146" s="37" t="n">
        <f aca="false">'Assumptions &amp; Data'!Q280</f>
        <v>805500</v>
      </c>
      <c r="T146" s="37" t="n">
        <f aca="false">'Assumptions &amp; Data'!R280</f>
        <v>177581</v>
      </c>
      <c r="U146" s="37" t="n">
        <f aca="false">'Assumptions &amp; Data'!S280</f>
        <v>40533</v>
      </c>
      <c r="V146" s="39" t="n">
        <f aca="false">Q146-R146-S146-T146-U146</f>
        <v>-1284425.40232547</v>
      </c>
      <c r="W146" s="39" t="n">
        <f aca="false">DAY(EOMONTH(C146,0))</f>
        <v>31</v>
      </c>
      <c r="X146" s="40" t="n">
        <f aca="false">E146/W146</f>
        <v>67.2903225806452</v>
      </c>
      <c r="Y146" s="39" t="n">
        <f aca="false">R146+S146+T146+U146</f>
        <v>1360526</v>
      </c>
    </row>
    <row r="147" customFormat="false" ht="15" hidden="false" customHeight="false" outlineLevel="0" collapsed="false">
      <c r="A147" s="37" t="str">
        <f aca="false">'Assumptions &amp; Data'!A281</f>
        <v>SM0077</v>
      </c>
      <c r="B147" s="37" t="str">
        <f aca="false">'Assumptions &amp; Data'!B281</f>
        <v>DS007</v>
      </c>
      <c r="C147" s="38" t="n">
        <f aca="false">'Assumptions &amp; Data'!C281</f>
        <v>46054</v>
      </c>
      <c r="D147" s="39" t="str">
        <f aca="false">INDEX('Assumptions &amp; Data'!$B$142:$B$201,MATCH(B147,'Assumptions &amp; Data'!$A$142:$A$201,0))</f>
        <v>Delhi NCR</v>
      </c>
      <c r="E147" s="37" t="n">
        <f aca="false">'Assumptions &amp; Data'!D281</f>
        <v>1966</v>
      </c>
      <c r="F147" s="39" t="n">
        <f aca="false">E147*'Assumptions &amp; Data'!E281</f>
        <v>1237793.6</v>
      </c>
      <c r="G147" s="39" t="n">
        <f aca="false">F147*'Assumptions &amp; Data'!F281</f>
        <v>96671.68016</v>
      </c>
      <c r="H147" s="39" t="n">
        <f aca="false">F147-G147</f>
        <v>1141121.91984</v>
      </c>
      <c r="I147" s="39" t="n">
        <f aca="false">H147*'Assumptions &amp; Data'!G281</f>
        <v>189654.463077408</v>
      </c>
      <c r="J147" s="39" t="n">
        <f aca="false">E147*'Assumptions &amp; Data'!H281</f>
        <v>24987.86</v>
      </c>
      <c r="K147" s="39" t="n">
        <f aca="false">H147*'Assumptions &amp; Data'!I281</f>
        <v>18029.726333472</v>
      </c>
      <c r="L147" s="39" t="n">
        <f aca="false">H147*'Assumptions &amp; Data'!J281</f>
        <v>43933.19391384</v>
      </c>
      <c r="M147" s="39" t="n">
        <f aca="false">I147+J147+K147-L147</f>
        <v>188738.85549704</v>
      </c>
      <c r="N147" s="39" t="n">
        <f aca="false">E147*'Assumptions &amp; Data'!N281</f>
        <v>88646.94</v>
      </c>
      <c r="O147" s="39" t="n">
        <f aca="false">E147*'Assumptions &amp; Data'!O281</f>
        <v>19836.94</v>
      </c>
      <c r="P147" s="39" t="n">
        <f aca="false">H147*'Assumptions &amp; Data'!P281</f>
        <v>11182.994814432</v>
      </c>
      <c r="Q147" s="39" t="n">
        <f aca="false">M147-N147-O147-P147</f>
        <v>69071.980682608</v>
      </c>
      <c r="R147" s="39" t="n">
        <f aca="false">'Assumptions &amp; Data'!L281*'Assumptions &amp; Data'!M281</f>
        <v>337216</v>
      </c>
      <c r="S147" s="37" t="n">
        <f aca="false">'Assumptions &amp; Data'!Q281</f>
        <v>805500</v>
      </c>
      <c r="T147" s="37" t="n">
        <f aca="false">'Assumptions &amp; Data'!R281</f>
        <v>182361</v>
      </c>
      <c r="U147" s="37" t="n">
        <f aca="false">'Assumptions &amp; Data'!S281</f>
        <v>37016</v>
      </c>
      <c r="V147" s="39" t="n">
        <f aca="false">Q147-R147-S147-T147-U147</f>
        <v>-1293021.01931739</v>
      </c>
      <c r="W147" s="39" t="n">
        <f aca="false">DAY(EOMONTH(C147,0))</f>
        <v>28</v>
      </c>
      <c r="X147" s="40" t="n">
        <f aca="false">E147/W147</f>
        <v>70.2142857142857</v>
      </c>
      <c r="Y147" s="39" t="n">
        <f aca="false">R147+S147+T147+U147</f>
        <v>1362093</v>
      </c>
    </row>
    <row r="148" customFormat="false" ht="15" hidden="false" customHeight="false" outlineLevel="0" collapsed="false">
      <c r="A148" s="37" t="str">
        <f aca="false">'Assumptions &amp; Data'!A282</f>
        <v>SM0078</v>
      </c>
      <c r="B148" s="37" t="str">
        <f aca="false">'Assumptions &amp; Data'!B282</f>
        <v>DS007</v>
      </c>
      <c r="C148" s="38" t="n">
        <f aca="false">'Assumptions &amp; Data'!C282</f>
        <v>46082</v>
      </c>
      <c r="D148" s="39" t="str">
        <f aca="false">INDEX('Assumptions &amp; Data'!$B$142:$B$201,MATCH(B148,'Assumptions &amp; Data'!$A$142:$A$201,0))</f>
        <v>Delhi NCR</v>
      </c>
      <c r="E148" s="37" t="n">
        <f aca="false">'Assumptions &amp; Data'!D282</f>
        <v>2138</v>
      </c>
      <c r="F148" s="39" t="n">
        <f aca="false">E148*'Assumptions &amp; Data'!E282</f>
        <v>1366395.8</v>
      </c>
      <c r="G148" s="39" t="n">
        <f aca="false">F148*'Assumptions &amp; Data'!F282</f>
        <v>111907.81602</v>
      </c>
      <c r="H148" s="39" t="n">
        <f aca="false">F148-G148</f>
        <v>1254487.98398</v>
      </c>
      <c r="I148" s="39" t="n">
        <f aca="false">H148*'Assumptions &amp; Data'!G282</f>
        <v>213137.508478202</v>
      </c>
      <c r="J148" s="39" t="n">
        <f aca="false">E148*'Assumptions &amp; Data'!H282</f>
        <v>27152.6</v>
      </c>
      <c r="K148" s="39" t="n">
        <f aca="false">H148*'Assumptions &amp; Data'!I282</f>
        <v>19068.217356496</v>
      </c>
      <c r="L148" s="39" t="n">
        <f aca="false">H148*'Assumptions &amp; Data'!J282</f>
        <v>46666.953004056</v>
      </c>
      <c r="M148" s="39" t="n">
        <f aca="false">I148+J148+K148-L148</f>
        <v>212691.372830642</v>
      </c>
      <c r="N148" s="39" t="n">
        <f aca="false">E148*'Assumptions &amp; Data'!N282</f>
        <v>97642.46</v>
      </c>
      <c r="O148" s="39" t="n">
        <f aca="false">E148*'Assumptions &amp; Data'!O282</f>
        <v>22277.96</v>
      </c>
      <c r="P148" s="39" t="n">
        <f aca="false">H148*'Assumptions &amp; Data'!P282</f>
        <v>12419.431041402</v>
      </c>
      <c r="Q148" s="39" t="n">
        <f aca="false">M148-N148-O148-P148</f>
        <v>80351.52178924</v>
      </c>
      <c r="R148" s="39" t="n">
        <f aca="false">'Assumptions &amp; Data'!L282*'Assumptions &amp; Data'!M282</f>
        <v>337520</v>
      </c>
      <c r="S148" s="37" t="n">
        <f aca="false">'Assumptions &amp; Data'!Q282</f>
        <v>805500</v>
      </c>
      <c r="T148" s="37" t="n">
        <f aca="false">'Assumptions &amp; Data'!R282</f>
        <v>179721</v>
      </c>
      <c r="U148" s="37" t="n">
        <f aca="false">'Assumptions &amp; Data'!S282</f>
        <v>40832</v>
      </c>
      <c r="V148" s="39" t="n">
        <f aca="false">Q148-R148-S148-T148-U148</f>
        <v>-1283221.47821076</v>
      </c>
      <c r="W148" s="39" t="n">
        <f aca="false">DAY(EOMONTH(C148,0))</f>
        <v>31</v>
      </c>
      <c r="X148" s="40" t="n">
        <f aca="false">E148/W148</f>
        <v>68.9677419354839</v>
      </c>
      <c r="Y148" s="39" t="n">
        <f aca="false">R148+S148+T148+U148</f>
        <v>1363573</v>
      </c>
    </row>
    <row r="149" customFormat="false" ht="15" hidden="false" customHeight="false" outlineLevel="0" collapsed="false">
      <c r="A149" s="37" t="str">
        <f aca="false">'Assumptions &amp; Data'!A283</f>
        <v>SM0079</v>
      </c>
      <c r="B149" s="37" t="str">
        <f aca="false">'Assumptions &amp; Data'!B283</f>
        <v>DS007</v>
      </c>
      <c r="C149" s="38" t="n">
        <f aca="false">'Assumptions &amp; Data'!C283</f>
        <v>46113</v>
      </c>
      <c r="D149" s="39" t="str">
        <f aca="false">INDEX('Assumptions &amp; Data'!$B$142:$B$201,MATCH(B149,'Assumptions &amp; Data'!$A$142:$A$201,0))</f>
        <v>Delhi NCR</v>
      </c>
      <c r="E149" s="37" t="n">
        <f aca="false">'Assumptions &amp; Data'!D283</f>
        <v>2137</v>
      </c>
      <c r="F149" s="39" t="n">
        <f aca="false">E149*'Assumptions &amp; Data'!E283</f>
        <v>1361910.1</v>
      </c>
      <c r="G149" s="39" t="n">
        <f aca="false">F149*'Assumptions &amp; Data'!F283</f>
        <v>112221.39224</v>
      </c>
      <c r="H149" s="39" t="n">
        <f aca="false">F149-G149</f>
        <v>1249688.70776</v>
      </c>
      <c r="I149" s="39" t="n">
        <f aca="false">H149*'Assumptions &amp; Data'!G283</f>
        <v>208573.045325144</v>
      </c>
      <c r="J149" s="39" t="n">
        <f aca="false">E149*'Assumptions &amp; Data'!H283</f>
        <v>29383.75</v>
      </c>
      <c r="K149" s="39" t="n">
        <f aca="false">H149*'Assumptions &amp; Data'!I283</f>
        <v>19995.01932416</v>
      </c>
      <c r="L149" s="39" t="n">
        <f aca="false">H149*'Assumptions &amp; Data'!J283</f>
        <v>47738.108636432</v>
      </c>
      <c r="M149" s="39" t="n">
        <f aca="false">I149+J149+K149-L149</f>
        <v>210213.706012872</v>
      </c>
      <c r="N149" s="39" t="n">
        <f aca="false">E149*'Assumptions &amp; Data'!N283</f>
        <v>97596.79</v>
      </c>
      <c r="O149" s="39" t="n">
        <f aca="false">E149*'Assumptions &amp; Data'!O283</f>
        <v>22075.21</v>
      </c>
      <c r="P149" s="39" t="n">
        <f aca="false">H149*'Assumptions &amp; Data'!P283</f>
        <v>12246.949336048</v>
      </c>
      <c r="Q149" s="39" t="n">
        <f aca="false">M149-N149-O149-P149</f>
        <v>78294.756676824</v>
      </c>
      <c r="R149" s="39" t="n">
        <f aca="false">'Assumptions &amp; Data'!L283*'Assumptions &amp; Data'!M283</f>
        <v>337840</v>
      </c>
      <c r="S149" s="37" t="n">
        <f aca="false">'Assumptions &amp; Data'!Q283</f>
        <v>805500</v>
      </c>
      <c r="T149" s="37" t="n">
        <f aca="false">'Assumptions &amp; Data'!R283</f>
        <v>165770</v>
      </c>
      <c r="U149" s="37" t="n">
        <f aca="false">'Assumptions &amp; Data'!S283</f>
        <v>42023</v>
      </c>
      <c r="V149" s="39" t="n">
        <f aca="false">Q149-R149-S149-T149-U149</f>
        <v>-1272838.24332318</v>
      </c>
      <c r="W149" s="39" t="n">
        <f aca="false">DAY(EOMONTH(C149,0))</f>
        <v>30</v>
      </c>
      <c r="X149" s="40" t="n">
        <f aca="false">E149/W149</f>
        <v>71.2333333333333</v>
      </c>
      <c r="Y149" s="39" t="n">
        <f aca="false">R149+S149+T149+U149</f>
        <v>1351133</v>
      </c>
    </row>
    <row r="150" customFormat="false" ht="15" hidden="false" customHeight="false" outlineLevel="0" collapsed="false">
      <c r="A150" s="37" t="str">
        <f aca="false">'Assumptions &amp; Data'!A284</f>
        <v>SM0080</v>
      </c>
      <c r="B150" s="37" t="str">
        <f aca="false">'Assumptions &amp; Data'!B284</f>
        <v>DS007</v>
      </c>
      <c r="C150" s="38" t="n">
        <f aca="false">'Assumptions &amp; Data'!C284</f>
        <v>46143</v>
      </c>
      <c r="D150" s="39" t="str">
        <f aca="false">INDEX('Assumptions &amp; Data'!$B$142:$B$201,MATCH(B150,'Assumptions &amp; Data'!$A$142:$A$201,0))</f>
        <v>Delhi NCR</v>
      </c>
      <c r="E150" s="37" t="n">
        <f aca="false">'Assumptions &amp; Data'!D284</f>
        <v>2506</v>
      </c>
      <c r="F150" s="39" t="n">
        <f aca="false">E150*'Assumptions &amp; Data'!E284</f>
        <v>1566250</v>
      </c>
      <c r="G150" s="39" t="n">
        <f aca="false">F150*'Assumptions &amp; Data'!F284</f>
        <v>121697.625</v>
      </c>
      <c r="H150" s="39" t="n">
        <f aca="false">F150-G150</f>
        <v>1444552.375</v>
      </c>
      <c r="I150" s="39" t="n">
        <f aca="false">H150*'Assumptions &amp; Data'!G284</f>
        <v>239795.69425</v>
      </c>
      <c r="J150" s="39" t="n">
        <f aca="false">E150*'Assumptions &amp; Data'!H284</f>
        <v>31199.7</v>
      </c>
      <c r="K150" s="39" t="n">
        <f aca="false">H150*'Assumptions &amp; Data'!I284</f>
        <v>26146.3979875</v>
      </c>
      <c r="L150" s="39" t="n">
        <f aca="false">H150*'Assumptions &amp; Data'!J284</f>
        <v>53881.8035875</v>
      </c>
      <c r="M150" s="39" t="n">
        <f aca="false">I150+J150+K150-L150</f>
        <v>243259.98865</v>
      </c>
      <c r="N150" s="39" t="n">
        <f aca="false">E150*'Assumptions &amp; Data'!N284</f>
        <v>113822.52</v>
      </c>
      <c r="O150" s="39" t="n">
        <f aca="false">E150*'Assumptions &amp; Data'!O284</f>
        <v>25085.06</v>
      </c>
      <c r="P150" s="39" t="n">
        <f aca="false">H150*'Assumptions &amp; Data'!P284</f>
        <v>14301.0685125</v>
      </c>
      <c r="Q150" s="39" t="n">
        <f aca="false">M150-N150-O150-P150</f>
        <v>90051.3401375</v>
      </c>
      <c r="R150" s="39" t="n">
        <f aca="false">'Assumptions &amp; Data'!L284*'Assumptions &amp; Data'!M284</f>
        <v>338144</v>
      </c>
      <c r="S150" s="37" t="n">
        <f aca="false">'Assumptions &amp; Data'!Q284</f>
        <v>805500</v>
      </c>
      <c r="T150" s="37" t="n">
        <f aca="false">'Assumptions &amp; Data'!R284</f>
        <v>172345</v>
      </c>
      <c r="U150" s="37" t="n">
        <f aca="false">'Assumptions &amp; Data'!S284</f>
        <v>47970</v>
      </c>
      <c r="V150" s="39" t="n">
        <f aca="false">Q150-R150-S150-T150-U150</f>
        <v>-1273907.6598625</v>
      </c>
      <c r="W150" s="39" t="n">
        <f aca="false">DAY(EOMONTH(C150,0))</f>
        <v>31</v>
      </c>
      <c r="X150" s="40" t="n">
        <f aca="false">E150/W150</f>
        <v>80.8387096774194</v>
      </c>
      <c r="Y150" s="39" t="n">
        <f aca="false">R150+S150+T150+U150</f>
        <v>1363959</v>
      </c>
    </row>
    <row r="151" customFormat="false" ht="15" hidden="false" customHeight="false" outlineLevel="0" collapsed="false">
      <c r="A151" s="37" t="str">
        <f aca="false">'Assumptions &amp; Data'!A285</f>
        <v>SM0081</v>
      </c>
      <c r="B151" s="37" t="str">
        <f aca="false">'Assumptions &amp; Data'!B285</f>
        <v>DS007</v>
      </c>
      <c r="C151" s="38" t="n">
        <f aca="false">'Assumptions &amp; Data'!C285</f>
        <v>46174</v>
      </c>
      <c r="D151" s="39" t="str">
        <f aca="false">INDEX('Assumptions &amp; Data'!$B$142:$B$201,MATCH(B151,'Assumptions &amp; Data'!$A$142:$A$201,0))</f>
        <v>Delhi NCR</v>
      </c>
      <c r="E151" s="37" t="n">
        <f aca="false">'Assumptions &amp; Data'!D285</f>
        <v>4070</v>
      </c>
      <c r="F151" s="39" t="n">
        <f aca="false">E151*'Assumptions &amp; Data'!E285</f>
        <v>2582008</v>
      </c>
      <c r="G151" s="39" t="n">
        <f aca="false">F151*'Assumptions &amp; Data'!F285</f>
        <v>189261.1864</v>
      </c>
      <c r="H151" s="39" t="n">
        <f aca="false">F151-G151</f>
        <v>2392746.8136</v>
      </c>
      <c r="I151" s="39" t="n">
        <f aca="false">H151*'Assumptions &amp; Data'!G285</f>
        <v>400545.81659664</v>
      </c>
      <c r="J151" s="39" t="n">
        <f aca="false">E151*'Assumptions &amp; Data'!H285</f>
        <v>54212.4</v>
      </c>
      <c r="K151" s="39" t="n">
        <f aca="false">H151*'Assumptions &amp; Data'!I285</f>
        <v>41155.24519392</v>
      </c>
      <c r="L151" s="39" t="n">
        <f aca="false">H151*'Assumptions &amp; Data'!J285</f>
        <v>88770.90678456</v>
      </c>
      <c r="M151" s="39" t="n">
        <f aca="false">I151+J151+K151-L151</f>
        <v>407142.555006</v>
      </c>
      <c r="N151" s="39" t="n">
        <f aca="false">E151*'Assumptions &amp; Data'!N285</f>
        <v>181562.7</v>
      </c>
      <c r="O151" s="39" t="n">
        <f aca="false">E151*'Assumptions &amp; Data'!O285</f>
        <v>43223.4</v>
      </c>
      <c r="P151" s="39" t="n">
        <f aca="false">H151*'Assumptions &amp; Data'!P285</f>
        <v>24884.56686144</v>
      </c>
      <c r="Q151" s="39" t="n">
        <f aca="false">M151-N151-O151-P151</f>
        <v>157471.88814456</v>
      </c>
      <c r="R151" s="39" t="n">
        <f aca="false">'Assumptions &amp; Data'!L285*'Assumptions &amp; Data'!M285</f>
        <v>338448</v>
      </c>
      <c r="S151" s="37" t="n">
        <f aca="false">'Assumptions &amp; Data'!Q285</f>
        <v>805500</v>
      </c>
      <c r="T151" s="37" t="n">
        <f aca="false">'Assumptions &amp; Data'!R285</f>
        <v>177229</v>
      </c>
      <c r="U151" s="37" t="n">
        <f aca="false">'Assumptions &amp; Data'!S285</f>
        <v>74187</v>
      </c>
      <c r="V151" s="39" t="n">
        <f aca="false">Q151-R151-S151-T151-U151</f>
        <v>-1237892.11185544</v>
      </c>
      <c r="W151" s="39" t="n">
        <f aca="false">DAY(EOMONTH(C151,0))</f>
        <v>30</v>
      </c>
      <c r="X151" s="40" t="n">
        <f aca="false">E151/W151</f>
        <v>135.666666666667</v>
      </c>
      <c r="Y151" s="39" t="n">
        <f aca="false">R151+S151+T151+U151</f>
        <v>1395364</v>
      </c>
    </row>
    <row r="152" customFormat="false" ht="15" hidden="false" customHeight="false" outlineLevel="0" collapsed="false">
      <c r="A152" s="37" t="str">
        <f aca="false">'Assumptions &amp; Data'!A286</f>
        <v>SM0082</v>
      </c>
      <c r="B152" s="37" t="str">
        <f aca="false">'Assumptions &amp; Data'!B286</f>
        <v>DS007</v>
      </c>
      <c r="C152" s="38" t="n">
        <f aca="false">'Assumptions &amp; Data'!C286</f>
        <v>46204</v>
      </c>
      <c r="D152" s="39" t="str">
        <f aca="false">INDEX('Assumptions &amp; Data'!$B$142:$B$201,MATCH(B152,'Assumptions &amp; Data'!$A$142:$A$201,0))</f>
        <v>Delhi NCR</v>
      </c>
      <c r="E152" s="37" t="n">
        <f aca="false">'Assumptions &amp; Data'!D286</f>
        <v>6053</v>
      </c>
      <c r="F152" s="39" t="n">
        <f aca="false">E152*'Assumptions &amp; Data'!E286</f>
        <v>3815205.9</v>
      </c>
      <c r="G152" s="39" t="n">
        <f aca="false">F152*'Assumptions &amp; Data'!F286</f>
        <v>278891.55129</v>
      </c>
      <c r="H152" s="39" t="n">
        <f aca="false">F152-G152</f>
        <v>3536314.34871</v>
      </c>
      <c r="I152" s="39" t="n">
        <f aca="false">H152*'Assumptions &amp; Data'!G286</f>
        <v>595515.336322764</v>
      </c>
      <c r="J152" s="39" t="n">
        <f aca="false">E152*'Assumptions &amp; Data'!H286</f>
        <v>82199.74</v>
      </c>
      <c r="K152" s="39" t="n">
        <f aca="false">H152*'Assumptions &amp; Data'!I286</f>
        <v>61885.501102425</v>
      </c>
      <c r="L152" s="39" t="n">
        <f aca="false">H152*'Assumptions &amp; Data'!J286</f>
        <v>124478.265074592</v>
      </c>
      <c r="M152" s="39" t="n">
        <f aca="false">I152+J152+K152-L152</f>
        <v>615122.312350597</v>
      </c>
      <c r="N152" s="39" t="n">
        <f aca="false">E152*'Assumptions &amp; Data'!N286</f>
        <v>267905.78</v>
      </c>
      <c r="O152" s="39" t="n">
        <f aca="false">E152*'Assumptions &amp; Data'!O286</f>
        <v>64101.27</v>
      </c>
      <c r="P152" s="39" t="n">
        <f aca="false">H152*'Assumptions &amp; Data'!P286</f>
        <v>35363.1434871</v>
      </c>
      <c r="Q152" s="39" t="n">
        <f aca="false">M152-N152-O152-P152</f>
        <v>247752.118863497</v>
      </c>
      <c r="R152" s="39" t="n">
        <f aca="false">'Assumptions &amp; Data'!L286*'Assumptions &amp; Data'!M286</f>
        <v>338752</v>
      </c>
      <c r="S152" s="37" t="n">
        <f aca="false">'Assumptions &amp; Data'!Q286</f>
        <v>805500</v>
      </c>
      <c r="T152" s="37" t="n">
        <f aca="false">'Assumptions &amp; Data'!R286</f>
        <v>161955</v>
      </c>
      <c r="U152" s="37" t="n">
        <f aca="false">'Assumptions &amp; Data'!S286</f>
        <v>96568</v>
      </c>
      <c r="V152" s="39" t="n">
        <f aca="false">Q152-R152-S152-T152-U152</f>
        <v>-1155022.8811365</v>
      </c>
      <c r="W152" s="39" t="n">
        <f aca="false">DAY(EOMONTH(C152,0))</f>
        <v>31</v>
      </c>
      <c r="X152" s="40" t="n">
        <f aca="false">E152/W152</f>
        <v>195.258064516129</v>
      </c>
      <c r="Y152" s="39" t="n">
        <f aca="false">R152+S152+T152+U152</f>
        <v>1402775</v>
      </c>
    </row>
    <row r="153" customFormat="false" ht="15" hidden="false" customHeight="false" outlineLevel="0" collapsed="false">
      <c r="A153" s="37" t="str">
        <f aca="false">'Assumptions &amp; Data'!A287</f>
        <v>SM0083</v>
      </c>
      <c r="B153" s="37" t="str">
        <f aca="false">'Assumptions &amp; Data'!B287</f>
        <v>DS007</v>
      </c>
      <c r="C153" s="38" t="n">
        <f aca="false">'Assumptions &amp; Data'!C287</f>
        <v>46235</v>
      </c>
      <c r="D153" s="39" t="str">
        <f aca="false">INDEX('Assumptions &amp; Data'!$B$142:$B$201,MATCH(B153,'Assumptions &amp; Data'!$A$142:$A$201,0))</f>
        <v>Delhi NCR</v>
      </c>
      <c r="E153" s="37" t="n">
        <f aca="false">'Assumptions &amp; Data'!D287</f>
        <v>8047</v>
      </c>
      <c r="F153" s="39" t="n">
        <f aca="false">E153*'Assumptions &amp; Data'!E287</f>
        <v>5094555.7</v>
      </c>
      <c r="G153" s="39" t="n">
        <f aca="false">F153*'Assumptions &amp; Data'!F287</f>
        <v>368845.83268</v>
      </c>
      <c r="H153" s="39" t="n">
        <f aca="false">F153-G153</f>
        <v>4725709.86732</v>
      </c>
      <c r="I153" s="39" t="n">
        <f aca="false">H153*'Assumptions &amp; Data'!G287</f>
        <v>774543.847253748</v>
      </c>
      <c r="J153" s="39" t="n">
        <f aca="false">E153*'Assumptions &amp; Data'!H287</f>
        <v>100989.85</v>
      </c>
      <c r="K153" s="39" t="n">
        <f aca="false">H153*'Assumptions &amp; Data'!I287</f>
        <v>95459.339319864</v>
      </c>
      <c r="L153" s="39" t="n">
        <f aca="false">H153*'Assumptions &amp; Data'!J287</f>
        <v>165872.416342932</v>
      </c>
      <c r="M153" s="39" t="n">
        <f aca="false">I153+J153+K153-L153</f>
        <v>805120.62023068</v>
      </c>
      <c r="N153" s="39" t="n">
        <f aca="false">E153*'Assumptions &amp; Data'!N287</f>
        <v>357206.33</v>
      </c>
      <c r="O153" s="39" t="n">
        <f aca="false">E153*'Assumptions &amp; Data'!O287</f>
        <v>83849.74</v>
      </c>
      <c r="P153" s="39" t="n">
        <f aca="false">H153*'Assumptions &amp; Data'!P287</f>
        <v>47729.669659932</v>
      </c>
      <c r="Q153" s="39" t="n">
        <f aca="false">M153-N153-O153-P153</f>
        <v>316334.880570748</v>
      </c>
      <c r="R153" s="39" t="n">
        <f aca="false">'Assumptions &amp; Data'!L287*'Assumptions &amp; Data'!M287</f>
        <v>339056</v>
      </c>
      <c r="S153" s="37" t="n">
        <f aca="false">'Assumptions &amp; Data'!Q287</f>
        <v>805500</v>
      </c>
      <c r="T153" s="37" t="n">
        <f aca="false">'Assumptions &amp; Data'!R287</f>
        <v>166384</v>
      </c>
      <c r="U153" s="37" t="n">
        <f aca="false">'Assumptions &amp; Data'!S287</f>
        <v>112690</v>
      </c>
      <c r="V153" s="39" t="n">
        <f aca="false">Q153-R153-S153-T153-U153</f>
        <v>-1107295.11942925</v>
      </c>
      <c r="W153" s="39" t="n">
        <f aca="false">DAY(EOMONTH(C153,0))</f>
        <v>31</v>
      </c>
      <c r="X153" s="40" t="n">
        <f aca="false">E153/W153</f>
        <v>259.58064516129</v>
      </c>
      <c r="Y153" s="39" t="n">
        <f aca="false">R153+S153+T153+U153</f>
        <v>1423630</v>
      </c>
    </row>
    <row r="154" customFormat="false" ht="15" hidden="false" customHeight="false" outlineLevel="0" collapsed="false">
      <c r="A154" s="37" t="str">
        <f aca="false">'Assumptions &amp; Data'!A288</f>
        <v>SM0084</v>
      </c>
      <c r="B154" s="37" t="str">
        <f aca="false">'Assumptions &amp; Data'!B288</f>
        <v>DS007</v>
      </c>
      <c r="C154" s="38" t="n">
        <f aca="false">'Assumptions &amp; Data'!C288</f>
        <v>46266</v>
      </c>
      <c r="D154" s="39" t="str">
        <f aca="false">INDEX('Assumptions &amp; Data'!$B$142:$B$201,MATCH(B154,'Assumptions &amp; Data'!$A$142:$A$201,0))</f>
        <v>Delhi NCR</v>
      </c>
      <c r="E154" s="37" t="n">
        <f aca="false">'Assumptions &amp; Data'!D288</f>
        <v>9033</v>
      </c>
      <c r="F154" s="39" t="n">
        <f aca="false">E154*'Assumptions &amp; Data'!E288</f>
        <v>5668207.5</v>
      </c>
      <c r="G154" s="39" t="n">
        <f aca="false">F154*'Assumptions &amp; Data'!F288</f>
        <v>376935.79875</v>
      </c>
      <c r="H154" s="39" t="n">
        <f aca="false">F154-G154</f>
        <v>5291271.70125</v>
      </c>
      <c r="I154" s="39" t="n">
        <f aca="false">H154*'Assumptions &amp; Data'!G288</f>
        <v>883642.37410875</v>
      </c>
      <c r="J154" s="39" t="n">
        <f aca="false">E154*'Assumptions &amp; Data'!H288</f>
        <v>121313.19</v>
      </c>
      <c r="K154" s="39" t="n">
        <f aca="false">H154*'Assumptions &amp; Data'!I288</f>
        <v>94713.763452375</v>
      </c>
      <c r="L154" s="39" t="n">
        <f aca="false">H154*'Assumptions &amp; Data'!J288</f>
        <v>175141.093311375</v>
      </c>
      <c r="M154" s="39" t="n">
        <f aca="false">I154+J154+K154-L154</f>
        <v>924528.23424975</v>
      </c>
      <c r="N154" s="39" t="n">
        <f aca="false">E154*'Assumptions &amp; Data'!N288</f>
        <v>391851.54</v>
      </c>
      <c r="O154" s="39" t="n">
        <f aca="false">E154*'Assumptions &amp; Data'!O288</f>
        <v>95388.48</v>
      </c>
      <c r="P154" s="39" t="n">
        <f aca="false">H154*'Assumptions &amp; Data'!P288</f>
        <v>52912.7170125</v>
      </c>
      <c r="Q154" s="39" t="n">
        <f aca="false">M154-N154-O154-P154</f>
        <v>384375.49723725</v>
      </c>
      <c r="R154" s="39" t="n">
        <f aca="false">'Assumptions &amp; Data'!L288*'Assumptions &amp; Data'!M288</f>
        <v>339360</v>
      </c>
      <c r="S154" s="37" t="n">
        <f aca="false">'Assumptions &amp; Data'!Q288</f>
        <v>805500</v>
      </c>
      <c r="T154" s="37" t="n">
        <f aca="false">'Assumptions &amp; Data'!R288</f>
        <v>176298</v>
      </c>
      <c r="U154" s="37" t="n">
        <f aca="false">'Assumptions &amp; Data'!S288</f>
        <v>124158</v>
      </c>
      <c r="V154" s="39" t="n">
        <f aca="false">Q154-R154-S154-T154-U154</f>
        <v>-1060940.50276275</v>
      </c>
      <c r="W154" s="39" t="n">
        <f aca="false">DAY(EOMONTH(C154,0))</f>
        <v>30</v>
      </c>
      <c r="X154" s="40" t="n">
        <f aca="false">E154/W154</f>
        <v>301.1</v>
      </c>
      <c r="Y154" s="39" t="n">
        <f aca="false">R154+S154+T154+U154</f>
        <v>1445316</v>
      </c>
    </row>
    <row r="155" customFormat="false" ht="15" hidden="false" customHeight="false" outlineLevel="0" collapsed="false">
      <c r="A155" s="37" t="str">
        <f aca="false">'Assumptions &amp; Data'!A289</f>
        <v>SM0085</v>
      </c>
      <c r="B155" s="37" t="str">
        <f aca="false">'Assumptions &amp; Data'!B289</f>
        <v>DS008</v>
      </c>
      <c r="C155" s="38" t="n">
        <f aca="false">'Assumptions &amp; Data'!C289</f>
        <v>45931</v>
      </c>
      <c r="D155" s="39" t="str">
        <f aca="false">INDEX('Assumptions &amp; Data'!$B$142:$B$201,MATCH(B155,'Assumptions &amp; Data'!$A$142:$A$201,0))</f>
        <v>Delhi NCR</v>
      </c>
      <c r="E155" s="37" t="n">
        <f aca="false">'Assumptions &amp; Data'!D289</f>
        <v>23088</v>
      </c>
      <c r="F155" s="39" t="n">
        <f aca="false">E155*'Assumptions &amp; Data'!E289</f>
        <v>16251643.2</v>
      </c>
      <c r="G155" s="39" t="n">
        <f aca="false">F155*'Assumptions &amp; Data'!F289</f>
        <v>1184744.78928</v>
      </c>
      <c r="H155" s="39" t="n">
        <f aca="false">F155-G155</f>
        <v>15066898.41072</v>
      </c>
      <c r="I155" s="39" t="n">
        <f aca="false">H155*'Assumptions &amp; Data'!G289</f>
        <v>2451384.37142414</v>
      </c>
      <c r="J155" s="39" t="n">
        <f aca="false">E155*'Assumptions &amp; Data'!H289</f>
        <v>280980.96</v>
      </c>
      <c r="K155" s="39" t="n">
        <f aca="false">H155*'Assumptions &amp; Data'!I289</f>
        <v>363112.251698352</v>
      </c>
      <c r="L155" s="39" t="n">
        <f aca="false">H155*'Assumptions &amp; Data'!J289</f>
        <v>551448.481832352</v>
      </c>
      <c r="M155" s="39" t="n">
        <f aca="false">I155+J155+K155-L155</f>
        <v>2544029.10129014</v>
      </c>
      <c r="N155" s="39" t="n">
        <f aca="false">E155*'Assumptions &amp; Data'!N289</f>
        <v>944299.2</v>
      </c>
      <c r="O155" s="39" t="n">
        <f aca="false">E155*'Assumptions &amp; Data'!O289</f>
        <v>238729.92</v>
      </c>
      <c r="P155" s="39" t="n">
        <f aca="false">H155*'Assumptions &amp; Data'!P289</f>
        <v>155189.053630416</v>
      </c>
      <c r="Q155" s="39" t="n">
        <f aca="false">M155-N155-O155-P155</f>
        <v>1205810.92765973</v>
      </c>
      <c r="R155" s="39" t="n">
        <f aca="false">'Assumptions &amp; Data'!L289*'Assumptions &amp; Data'!M289</f>
        <v>399000</v>
      </c>
      <c r="S155" s="37" t="n">
        <f aca="false">'Assumptions &amp; Data'!Q289</f>
        <v>544000</v>
      </c>
      <c r="T155" s="37" t="n">
        <f aca="false">'Assumptions &amp; Data'!R289</f>
        <v>170381</v>
      </c>
      <c r="U155" s="37" t="n">
        <f aca="false">'Assumptions &amp; Data'!S289</f>
        <v>237421</v>
      </c>
      <c r="V155" s="39" t="n">
        <f aca="false">Q155-R155-S155-T155-U155</f>
        <v>-144991.072340272</v>
      </c>
      <c r="W155" s="39" t="n">
        <f aca="false">DAY(EOMONTH(C155,0))</f>
        <v>31</v>
      </c>
      <c r="X155" s="40" t="n">
        <f aca="false">E155/W155</f>
        <v>744.774193548387</v>
      </c>
      <c r="Y155" s="39" t="n">
        <f aca="false">R155+S155+T155+U155</f>
        <v>1350802</v>
      </c>
    </row>
    <row r="156" customFormat="false" ht="15" hidden="false" customHeight="false" outlineLevel="0" collapsed="false">
      <c r="A156" s="37" t="str">
        <f aca="false">'Assumptions &amp; Data'!A290</f>
        <v>SM0086</v>
      </c>
      <c r="B156" s="37" t="str">
        <f aca="false">'Assumptions &amp; Data'!B290</f>
        <v>DS008</v>
      </c>
      <c r="C156" s="38" t="n">
        <f aca="false">'Assumptions &amp; Data'!C290</f>
        <v>45962</v>
      </c>
      <c r="D156" s="39" t="str">
        <f aca="false">INDEX('Assumptions &amp; Data'!$B$142:$B$201,MATCH(B156,'Assumptions &amp; Data'!$A$142:$A$201,0))</f>
        <v>Delhi NCR</v>
      </c>
      <c r="E156" s="37" t="n">
        <f aca="false">'Assumptions &amp; Data'!D290</f>
        <v>26409</v>
      </c>
      <c r="F156" s="39" t="n">
        <f aca="false">E156*'Assumptions &amp; Data'!E290</f>
        <v>18227491.8</v>
      </c>
      <c r="G156" s="39" t="n">
        <f aca="false">F156*'Assumptions &amp; Data'!F290</f>
        <v>1285038.1719</v>
      </c>
      <c r="H156" s="39" t="n">
        <f aca="false">F156-G156</f>
        <v>16942453.6281</v>
      </c>
      <c r="I156" s="39" t="n">
        <f aca="false">H156*'Assumptions &amp; Data'!G290</f>
        <v>2856497.68169766</v>
      </c>
      <c r="J156" s="39" t="n">
        <f aca="false">E156*'Assumptions &amp; Data'!H290</f>
        <v>303967.59</v>
      </c>
      <c r="K156" s="39" t="n">
        <f aca="false">H156*'Assumptions &amp; Data'!I290</f>
        <v>454057.75723308</v>
      </c>
      <c r="L156" s="39" t="n">
        <f aca="false">H156*'Assumptions &amp; Data'!J290</f>
        <v>567572.19654135</v>
      </c>
      <c r="M156" s="39" t="n">
        <f aca="false">I156+J156+K156-L156</f>
        <v>3046950.83238939</v>
      </c>
      <c r="N156" s="39" t="n">
        <f aca="false">E156*'Assumptions &amp; Data'!N290</f>
        <v>1005126.54</v>
      </c>
      <c r="O156" s="39" t="n">
        <f aca="false">E156*'Assumptions &amp; Data'!O290</f>
        <v>271484.52</v>
      </c>
      <c r="P156" s="39" t="n">
        <f aca="false">H156*'Assumptions &amp; Data'!P290</f>
        <v>162647.55482976</v>
      </c>
      <c r="Q156" s="39" t="n">
        <f aca="false">M156-N156-O156-P156</f>
        <v>1607692.21755963</v>
      </c>
      <c r="R156" s="39" t="n">
        <f aca="false">'Assumptions &amp; Data'!L290*'Assumptions &amp; Data'!M290</f>
        <v>483437</v>
      </c>
      <c r="S156" s="37" t="n">
        <f aca="false">'Assumptions &amp; Data'!Q290</f>
        <v>544000</v>
      </c>
      <c r="T156" s="37" t="n">
        <f aca="false">'Assumptions &amp; Data'!R290</f>
        <v>169681</v>
      </c>
      <c r="U156" s="37" t="n">
        <f aca="false">'Assumptions &amp; Data'!S290</f>
        <v>255097</v>
      </c>
      <c r="V156" s="39" t="n">
        <f aca="false">Q156-R156-S156-T156-U156</f>
        <v>155477.21755963</v>
      </c>
      <c r="W156" s="39" t="n">
        <f aca="false">DAY(EOMONTH(C156,0))</f>
        <v>30</v>
      </c>
      <c r="X156" s="40" t="n">
        <f aca="false">E156/W156</f>
        <v>880.3</v>
      </c>
      <c r="Y156" s="39" t="n">
        <f aca="false">R156+S156+T156+U156</f>
        <v>1452215</v>
      </c>
    </row>
    <row r="157" customFormat="false" ht="15" hidden="false" customHeight="false" outlineLevel="0" collapsed="false">
      <c r="A157" s="37" t="str">
        <f aca="false">'Assumptions &amp; Data'!A291</f>
        <v>SM0087</v>
      </c>
      <c r="B157" s="37" t="str">
        <f aca="false">'Assumptions &amp; Data'!B291</f>
        <v>DS008</v>
      </c>
      <c r="C157" s="38" t="n">
        <f aca="false">'Assumptions &amp; Data'!C291</f>
        <v>45992</v>
      </c>
      <c r="D157" s="39" t="str">
        <f aca="false">INDEX('Assumptions &amp; Data'!$B$142:$B$201,MATCH(B157,'Assumptions &amp; Data'!$A$142:$A$201,0))</f>
        <v>Delhi NCR</v>
      </c>
      <c r="E157" s="37" t="n">
        <f aca="false">'Assumptions &amp; Data'!D291</f>
        <v>25059</v>
      </c>
      <c r="F157" s="39" t="n">
        <f aca="false">E157*'Assumptions &amp; Data'!E291</f>
        <v>17338322.1</v>
      </c>
      <c r="G157" s="39" t="n">
        <f aca="false">F157*'Assumptions &amp; Data'!F291</f>
        <v>1147796.92302</v>
      </c>
      <c r="H157" s="39" t="n">
        <f aca="false">F157-G157</f>
        <v>16190525.17698</v>
      </c>
      <c r="I157" s="39" t="n">
        <f aca="false">H157*'Assumptions &amp; Data'!G291</f>
        <v>2690865.28441408</v>
      </c>
      <c r="J157" s="39" t="n">
        <f aca="false">E157*'Assumptions &amp; Data'!H291</f>
        <v>297199.74</v>
      </c>
      <c r="K157" s="39" t="n">
        <f aca="false">H157*'Assumptions &amp; Data'!I291</f>
        <v>409620.286977594</v>
      </c>
      <c r="L157" s="39" t="n">
        <f aca="false">H157*'Assumptions &amp; Data'!J291</f>
        <v>542382.59342883</v>
      </c>
      <c r="M157" s="39" t="n">
        <f aca="false">I157+J157+K157-L157</f>
        <v>2855302.71796284</v>
      </c>
      <c r="N157" s="39" t="n">
        <f aca="false">E157*'Assumptions &amp; Data'!N291</f>
        <v>960260.88</v>
      </c>
      <c r="O157" s="39" t="n">
        <f aca="false">E157*'Assumptions &amp; Data'!O291</f>
        <v>263620.68</v>
      </c>
      <c r="P157" s="39" t="n">
        <f aca="false">H157*'Assumptions &amp; Data'!P291</f>
        <v>168381.461840592</v>
      </c>
      <c r="Q157" s="39" t="n">
        <f aca="false">M157-N157-O157-P157</f>
        <v>1463039.69612225</v>
      </c>
      <c r="R157" s="39" t="n">
        <f aca="false">'Assumptions &amp; Data'!L291*'Assumptions &amp; Data'!M291</f>
        <v>441798</v>
      </c>
      <c r="S157" s="37" t="n">
        <f aca="false">'Assumptions &amp; Data'!Q291</f>
        <v>544000</v>
      </c>
      <c r="T157" s="37" t="n">
        <f aca="false">'Assumptions &amp; Data'!R291</f>
        <v>157509</v>
      </c>
      <c r="U157" s="37" t="n">
        <f aca="false">'Assumptions &amp; Data'!S291</f>
        <v>209373</v>
      </c>
      <c r="V157" s="39" t="n">
        <f aca="false">Q157-R157-S157-T157-U157</f>
        <v>110359.696122248</v>
      </c>
      <c r="W157" s="39" t="n">
        <f aca="false">DAY(EOMONTH(C157,0))</f>
        <v>31</v>
      </c>
      <c r="X157" s="40" t="n">
        <f aca="false">E157/W157</f>
        <v>808.354838709677</v>
      </c>
      <c r="Y157" s="39" t="n">
        <f aca="false">R157+S157+T157+U157</f>
        <v>1352680</v>
      </c>
    </row>
    <row r="158" customFormat="false" ht="15" hidden="false" customHeight="false" outlineLevel="0" collapsed="false">
      <c r="A158" s="37" t="str">
        <f aca="false">'Assumptions &amp; Data'!A292</f>
        <v>SM0088</v>
      </c>
      <c r="B158" s="37" t="str">
        <f aca="false">'Assumptions &amp; Data'!B292</f>
        <v>DS008</v>
      </c>
      <c r="C158" s="38" t="n">
        <f aca="false">'Assumptions &amp; Data'!C292</f>
        <v>46023</v>
      </c>
      <c r="D158" s="39" t="str">
        <f aca="false">INDEX('Assumptions &amp; Data'!$B$142:$B$201,MATCH(B158,'Assumptions &amp; Data'!$A$142:$A$201,0))</f>
        <v>Delhi NCR</v>
      </c>
      <c r="E158" s="37" t="n">
        <f aca="false">'Assumptions &amp; Data'!D292</f>
        <v>23588</v>
      </c>
      <c r="F158" s="39" t="n">
        <f aca="false">E158*'Assumptions &amp; Data'!E292</f>
        <v>16631898.8</v>
      </c>
      <c r="G158" s="39" t="n">
        <f aca="false">F158*'Assumptions &amp; Data'!F292</f>
        <v>1114337.2196</v>
      </c>
      <c r="H158" s="39" t="n">
        <f aca="false">F158-G158</f>
        <v>15517561.5804</v>
      </c>
      <c r="I158" s="39" t="n">
        <f aca="false">H158*'Assumptions &amp; Data'!G292</f>
        <v>2558845.90460796</v>
      </c>
      <c r="J158" s="39" t="n">
        <f aca="false">E158*'Assumptions &amp; Data'!H292</f>
        <v>296265.28</v>
      </c>
      <c r="K158" s="39" t="n">
        <f aca="false">H158*'Assumptions &amp; Data'!I292</f>
        <v>387939.03951</v>
      </c>
      <c r="L158" s="39" t="n">
        <f aca="false">H158*'Assumptions &amp; Data'!J292</f>
        <v>557080.46073636</v>
      </c>
      <c r="M158" s="39" t="n">
        <f aca="false">I158+J158+K158-L158</f>
        <v>2685969.7633816</v>
      </c>
      <c r="N158" s="39" t="n">
        <f aca="false">E158*'Assumptions &amp; Data'!N292</f>
        <v>936915.36</v>
      </c>
      <c r="O158" s="39" t="n">
        <f aca="false">E158*'Assumptions &amp; Data'!O292</f>
        <v>250268.68</v>
      </c>
      <c r="P158" s="39" t="n">
        <f aca="false">H158*'Assumptions &amp; Data'!P292</f>
        <v>150520.34732988</v>
      </c>
      <c r="Q158" s="39" t="n">
        <f aca="false">M158-N158-O158-P158</f>
        <v>1348265.37605172</v>
      </c>
      <c r="R158" s="39" t="n">
        <f aca="false">'Assumptions &amp; Data'!L292*'Assumptions &amp; Data'!M292</f>
        <v>400083</v>
      </c>
      <c r="S158" s="37" t="n">
        <f aca="false">'Assumptions &amp; Data'!Q292</f>
        <v>544000</v>
      </c>
      <c r="T158" s="37" t="n">
        <f aca="false">'Assumptions &amp; Data'!R292</f>
        <v>153588</v>
      </c>
      <c r="U158" s="37" t="n">
        <f aca="false">'Assumptions &amp; Data'!S292</f>
        <v>199720</v>
      </c>
      <c r="V158" s="39" t="n">
        <f aca="false">Q158-R158-S158-T158-U158</f>
        <v>50874.3760517205</v>
      </c>
      <c r="W158" s="39" t="n">
        <f aca="false">DAY(EOMONTH(C158,0))</f>
        <v>31</v>
      </c>
      <c r="X158" s="40" t="n">
        <f aca="false">E158/W158</f>
        <v>760.903225806452</v>
      </c>
      <c r="Y158" s="39" t="n">
        <f aca="false">R158+S158+T158+U158</f>
        <v>1297391</v>
      </c>
    </row>
    <row r="159" customFormat="false" ht="15" hidden="false" customHeight="false" outlineLevel="0" collapsed="false">
      <c r="A159" s="37" t="str">
        <f aca="false">'Assumptions &amp; Data'!A293</f>
        <v>SM0089</v>
      </c>
      <c r="B159" s="37" t="str">
        <f aca="false">'Assumptions &amp; Data'!B293</f>
        <v>DS008</v>
      </c>
      <c r="C159" s="38" t="n">
        <f aca="false">'Assumptions &amp; Data'!C293</f>
        <v>46054</v>
      </c>
      <c r="D159" s="39" t="str">
        <f aca="false">INDEX('Assumptions &amp; Data'!$B$142:$B$201,MATCH(B159,'Assumptions &amp; Data'!$A$142:$A$201,0))</f>
        <v>Delhi NCR</v>
      </c>
      <c r="E159" s="37" t="n">
        <f aca="false">'Assumptions &amp; Data'!D293</f>
        <v>24001</v>
      </c>
      <c r="F159" s="39" t="n">
        <f aca="false">E159*'Assumptions &amp; Data'!E293</f>
        <v>16918304.9</v>
      </c>
      <c r="G159" s="39" t="n">
        <f aca="false">F159*'Assumptions &amp; Data'!F293</f>
        <v>1167363.0381</v>
      </c>
      <c r="H159" s="39" t="n">
        <f aca="false">F159-G159</f>
        <v>15750941.8619</v>
      </c>
      <c r="I159" s="39" t="n">
        <f aca="false">H159*'Assumptions &amp; Data'!G293</f>
        <v>2611506.16070302</v>
      </c>
      <c r="J159" s="39" t="n">
        <f aca="false">E159*'Assumptions &amp; Data'!H293</f>
        <v>302652.61</v>
      </c>
      <c r="K159" s="39" t="n">
        <f aca="false">H159*'Assumptions &amp; Data'!I293</f>
        <v>389048.26398893</v>
      </c>
      <c r="L159" s="39" t="n">
        <f aca="false">H159*'Assumptions &amp; Data'!J293</f>
        <v>529231.64655984</v>
      </c>
      <c r="M159" s="39" t="n">
        <f aca="false">I159+J159+K159-L159</f>
        <v>2773975.38813211</v>
      </c>
      <c r="N159" s="39" t="n">
        <f aca="false">E159*'Assumptions &amp; Data'!N293</f>
        <v>932438.85</v>
      </c>
      <c r="O159" s="39" t="n">
        <f aca="false">E159*'Assumptions &amp; Data'!O293</f>
        <v>244090.17</v>
      </c>
      <c r="P159" s="39" t="n">
        <f aca="false">H159*'Assumptions &amp; Data'!P293</f>
        <v>148058.85350186</v>
      </c>
      <c r="Q159" s="39" t="n">
        <f aca="false">M159-N159-O159-P159</f>
        <v>1449387.51463025</v>
      </c>
      <c r="R159" s="39" t="n">
        <f aca="false">'Assumptions &amp; Data'!L293*'Assumptions &amp; Data'!M293</f>
        <v>442596</v>
      </c>
      <c r="S159" s="37" t="n">
        <f aca="false">'Assumptions &amp; Data'!Q293</f>
        <v>544000</v>
      </c>
      <c r="T159" s="37" t="n">
        <f aca="false">'Assumptions &amp; Data'!R293</f>
        <v>166088</v>
      </c>
      <c r="U159" s="37" t="n">
        <f aca="false">'Assumptions &amp; Data'!S293</f>
        <v>188111</v>
      </c>
      <c r="V159" s="39" t="n">
        <f aca="false">Q159-R159-S159-T159-U159</f>
        <v>108592.514630249</v>
      </c>
      <c r="W159" s="39" t="n">
        <f aca="false">DAY(EOMONTH(C159,0))</f>
        <v>28</v>
      </c>
      <c r="X159" s="40" t="n">
        <f aca="false">E159/W159</f>
        <v>857.178571428571</v>
      </c>
      <c r="Y159" s="39" t="n">
        <f aca="false">R159+S159+T159+U159</f>
        <v>1340795</v>
      </c>
    </row>
    <row r="160" customFormat="false" ht="15" hidden="false" customHeight="false" outlineLevel="0" collapsed="false">
      <c r="A160" s="37" t="str">
        <f aca="false">'Assumptions &amp; Data'!A294</f>
        <v>SM0090</v>
      </c>
      <c r="B160" s="37" t="str">
        <f aca="false">'Assumptions &amp; Data'!B294</f>
        <v>DS008</v>
      </c>
      <c r="C160" s="38" t="n">
        <f aca="false">'Assumptions &amp; Data'!C294</f>
        <v>46082</v>
      </c>
      <c r="D160" s="39" t="str">
        <f aca="false">INDEX('Assumptions &amp; Data'!$B$142:$B$201,MATCH(B160,'Assumptions &amp; Data'!$A$142:$A$201,0))</f>
        <v>Delhi NCR</v>
      </c>
      <c r="E160" s="37" t="n">
        <f aca="false">'Assumptions &amp; Data'!D294</f>
        <v>28639</v>
      </c>
      <c r="F160" s="39" t="n">
        <f aca="false">E160*'Assumptions &amp; Data'!E294</f>
        <v>20107441.9</v>
      </c>
      <c r="G160" s="39" t="n">
        <f aca="false">F160*'Assumptions &amp; Data'!F294</f>
        <v>1323069.67702</v>
      </c>
      <c r="H160" s="39" t="n">
        <f aca="false">F160-G160</f>
        <v>18784372.22298</v>
      </c>
      <c r="I160" s="39" t="n">
        <f aca="false">H160*'Assumptions &amp; Data'!G294</f>
        <v>3082515.48179102</v>
      </c>
      <c r="J160" s="39" t="n">
        <f aca="false">E160*'Assumptions &amp; Data'!H294</f>
        <v>316174.56</v>
      </c>
      <c r="K160" s="39" t="n">
        <f aca="false">H160*'Assumptions &amp; Data'!I294</f>
        <v>522205.547798844</v>
      </c>
      <c r="L160" s="39" t="n">
        <f aca="false">H160*'Assumptions &amp; Data'!J294</f>
        <v>597343.036690764</v>
      </c>
      <c r="M160" s="39" t="n">
        <f aca="false">I160+J160+K160-L160</f>
        <v>3323552.5528991</v>
      </c>
      <c r="N160" s="39" t="n">
        <f aca="false">E160*'Assumptions &amp; Data'!N294</f>
        <v>1098305.65</v>
      </c>
      <c r="O160" s="39" t="n">
        <f aca="false">E160*'Assumptions &amp; Data'!O294</f>
        <v>296413.65</v>
      </c>
      <c r="P160" s="39" t="n">
        <f aca="false">H160*'Assumptions &amp; Data'!P294</f>
        <v>189722.159452098</v>
      </c>
      <c r="Q160" s="39" t="n">
        <f aca="false">M160-N160-O160-P160</f>
        <v>1739111.093447</v>
      </c>
      <c r="R160" s="39" t="n">
        <f aca="false">'Assumptions &amp; Data'!L294*'Assumptions &amp; Data'!M294</f>
        <v>506280</v>
      </c>
      <c r="S160" s="37" t="n">
        <f aca="false">'Assumptions &amp; Data'!Q294</f>
        <v>544000</v>
      </c>
      <c r="T160" s="37" t="n">
        <f aca="false">'Assumptions &amp; Data'!R294</f>
        <v>160510</v>
      </c>
      <c r="U160" s="37" t="n">
        <f aca="false">'Assumptions &amp; Data'!S294</f>
        <v>214533</v>
      </c>
      <c r="V160" s="39" t="n">
        <f aca="false">Q160-R160-S160-T160-U160</f>
        <v>313788.093447001</v>
      </c>
      <c r="W160" s="39" t="n">
        <f aca="false">DAY(EOMONTH(C160,0))</f>
        <v>31</v>
      </c>
      <c r="X160" s="40" t="n">
        <f aca="false">E160/W160</f>
        <v>923.838709677419</v>
      </c>
      <c r="Y160" s="39" t="n">
        <f aca="false">R160+S160+T160+U160</f>
        <v>1425323</v>
      </c>
    </row>
    <row r="161" customFormat="false" ht="15" hidden="false" customHeight="false" outlineLevel="0" collapsed="false">
      <c r="A161" s="37" t="str">
        <f aca="false">'Assumptions &amp; Data'!A295</f>
        <v>SM0091</v>
      </c>
      <c r="B161" s="37" t="str">
        <f aca="false">'Assumptions &amp; Data'!B295</f>
        <v>DS008</v>
      </c>
      <c r="C161" s="38" t="n">
        <f aca="false">'Assumptions &amp; Data'!C295</f>
        <v>46113</v>
      </c>
      <c r="D161" s="39" t="str">
        <f aca="false">INDEX('Assumptions &amp; Data'!$B$142:$B$201,MATCH(B161,'Assumptions &amp; Data'!$A$142:$A$201,0))</f>
        <v>Delhi NCR</v>
      </c>
      <c r="E161" s="37" t="n">
        <f aca="false">'Assumptions &amp; Data'!D295</f>
        <v>30471</v>
      </c>
      <c r="F161" s="39" t="n">
        <f aca="false">E161*'Assumptions &amp; Data'!E295</f>
        <v>21381500.7</v>
      </c>
      <c r="G161" s="39" t="n">
        <f aca="false">F161*'Assumptions &amp; Data'!F295</f>
        <v>1430422.39683</v>
      </c>
      <c r="H161" s="39" t="n">
        <f aca="false">F161-G161</f>
        <v>19951078.30317</v>
      </c>
      <c r="I161" s="39" t="n">
        <f aca="false">H161*'Assumptions &amp; Data'!G295</f>
        <v>3323849.64530812</v>
      </c>
      <c r="J161" s="39" t="n">
        <f aca="false">E161*'Assumptions &amp; Data'!H295</f>
        <v>383020.47</v>
      </c>
      <c r="K161" s="39" t="n">
        <f aca="false">H161*'Assumptions &amp; Data'!I295</f>
        <v>554639.976828126</v>
      </c>
      <c r="L161" s="39" t="n">
        <f aca="false">H161*'Assumptions &amp; Data'!J295</f>
        <v>692302.417119999</v>
      </c>
      <c r="M161" s="39" t="n">
        <f aca="false">I161+J161+K161-L161</f>
        <v>3569207.67501625</v>
      </c>
      <c r="N161" s="39" t="n">
        <f aca="false">E161*'Assumptions &amp; Data'!N295</f>
        <v>1125294.03</v>
      </c>
      <c r="O161" s="39" t="n">
        <f aca="false">E161*'Assumptions &amp; Data'!O295</f>
        <v>312327.75</v>
      </c>
      <c r="P161" s="39" t="n">
        <f aca="false">H161*'Assumptions &amp; Data'!P295</f>
        <v>193525.459540749</v>
      </c>
      <c r="Q161" s="39" t="n">
        <f aca="false">M161-N161-O161-P161</f>
        <v>1938060.4354755</v>
      </c>
      <c r="R161" s="39" t="n">
        <f aca="false">'Assumptions &amp; Data'!L295*'Assumptions &amp; Data'!M295</f>
        <v>570105</v>
      </c>
      <c r="S161" s="37" t="n">
        <f aca="false">'Assumptions &amp; Data'!Q295</f>
        <v>544000</v>
      </c>
      <c r="T161" s="37" t="n">
        <f aca="false">'Assumptions &amp; Data'!R295</f>
        <v>172842</v>
      </c>
      <c r="U161" s="37" t="n">
        <f aca="false">'Assumptions &amp; Data'!S295</f>
        <v>211355</v>
      </c>
      <c r="V161" s="39" t="n">
        <f aca="false">Q161-R161-S161-T161-U161</f>
        <v>439758.4354755</v>
      </c>
      <c r="W161" s="39" t="n">
        <f aca="false">DAY(EOMONTH(C161,0))</f>
        <v>30</v>
      </c>
      <c r="X161" s="40" t="n">
        <f aca="false">E161/W161</f>
        <v>1015.7</v>
      </c>
      <c r="Y161" s="39" t="n">
        <f aca="false">R161+S161+T161+U161</f>
        <v>1498302</v>
      </c>
    </row>
    <row r="162" customFormat="false" ht="15" hidden="false" customHeight="false" outlineLevel="0" collapsed="false">
      <c r="A162" s="37" t="str">
        <f aca="false">'Assumptions &amp; Data'!A296</f>
        <v>SM0092</v>
      </c>
      <c r="B162" s="37" t="str">
        <f aca="false">'Assumptions &amp; Data'!B296</f>
        <v>DS008</v>
      </c>
      <c r="C162" s="38" t="n">
        <f aca="false">'Assumptions &amp; Data'!C296</f>
        <v>46143</v>
      </c>
      <c r="D162" s="39" t="str">
        <f aca="false">INDEX('Assumptions &amp; Data'!$B$142:$B$201,MATCH(B162,'Assumptions &amp; Data'!$A$142:$A$201,0))</f>
        <v>Delhi NCR</v>
      </c>
      <c r="E162" s="37" t="n">
        <f aca="false">'Assumptions &amp; Data'!D296</f>
        <v>32049</v>
      </c>
      <c r="F162" s="39" t="n">
        <f aca="false">E162*'Assumptions &amp; Data'!E296</f>
        <v>22104195.3</v>
      </c>
      <c r="G162" s="39" t="n">
        <f aca="false">F162*'Assumptions &amp; Data'!F296</f>
        <v>1500874.86087</v>
      </c>
      <c r="H162" s="39" t="n">
        <f aca="false">F162-G162</f>
        <v>20603320.43913</v>
      </c>
      <c r="I162" s="39" t="n">
        <f aca="false">H162*'Assumptions &amp; Data'!G296</f>
        <v>3387185.88019297</v>
      </c>
      <c r="J162" s="39" t="n">
        <f aca="false">E162*'Assumptions &amp; Data'!H296</f>
        <v>396125.64</v>
      </c>
      <c r="K162" s="39" t="n">
        <f aca="false">H162*'Assumptions &amp; Data'!I296</f>
        <v>556289.65185651</v>
      </c>
      <c r="L162" s="39" t="n">
        <f aca="false">H162*'Assumptions &amp; Data'!J296</f>
        <v>669607.914271725</v>
      </c>
      <c r="M162" s="39" t="n">
        <f aca="false">I162+J162+K162-L162</f>
        <v>3669993.25777776</v>
      </c>
      <c r="N162" s="39" t="n">
        <f aca="false">E162*'Assumptions &amp; Data'!N296</f>
        <v>1179403.2</v>
      </c>
      <c r="O162" s="39" t="n">
        <f aca="false">E162*'Assumptions &amp; Data'!O296</f>
        <v>335553.03</v>
      </c>
      <c r="P162" s="39" t="n">
        <f aca="false">H162*'Assumptions &amp; Data'!P296</f>
        <v>206033.2043913</v>
      </c>
      <c r="Q162" s="39" t="n">
        <f aca="false">M162-N162-O162-P162</f>
        <v>1949003.82338646</v>
      </c>
      <c r="R162" s="39" t="n">
        <f aca="false">'Assumptions &amp; Data'!L296*'Assumptions &amp; Data'!M296</f>
        <v>549484</v>
      </c>
      <c r="S162" s="37" t="n">
        <f aca="false">'Assumptions &amp; Data'!Q296</f>
        <v>544000</v>
      </c>
      <c r="T162" s="37" t="n">
        <f aca="false">'Assumptions &amp; Data'!R296</f>
        <v>167948</v>
      </c>
      <c r="U162" s="37" t="n">
        <f aca="false">'Assumptions &amp; Data'!S296</f>
        <v>204255</v>
      </c>
      <c r="V162" s="39" t="n">
        <f aca="false">Q162-R162-S162-T162-U162</f>
        <v>483316.823386457</v>
      </c>
      <c r="W162" s="39" t="n">
        <f aca="false">DAY(EOMONTH(C162,0))</f>
        <v>31</v>
      </c>
      <c r="X162" s="40" t="n">
        <f aca="false">E162/W162</f>
        <v>1033.83870967742</v>
      </c>
      <c r="Y162" s="39" t="n">
        <f aca="false">R162+S162+T162+U162</f>
        <v>1465687</v>
      </c>
    </row>
    <row r="163" customFormat="false" ht="15" hidden="false" customHeight="false" outlineLevel="0" collapsed="false">
      <c r="A163" s="37" t="str">
        <f aca="false">'Assumptions &amp; Data'!A297</f>
        <v>SM0093</v>
      </c>
      <c r="B163" s="37" t="str">
        <f aca="false">'Assumptions &amp; Data'!B297</f>
        <v>DS008</v>
      </c>
      <c r="C163" s="38" t="n">
        <f aca="false">'Assumptions &amp; Data'!C297</f>
        <v>46174</v>
      </c>
      <c r="D163" s="39" t="str">
        <f aca="false">INDEX('Assumptions &amp; Data'!$B$142:$B$201,MATCH(B163,'Assumptions &amp; Data'!$A$142:$A$201,0))</f>
        <v>Delhi NCR</v>
      </c>
      <c r="E163" s="37" t="n">
        <f aca="false">'Assumptions &amp; Data'!D297</f>
        <v>29189</v>
      </c>
      <c r="F163" s="39" t="n">
        <f aca="false">E163*'Assumptions &amp; Data'!E297</f>
        <v>19898141.3</v>
      </c>
      <c r="G163" s="39" t="n">
        <f aca="false">F163*'Assumptions &amp; Data'!F297</f>
        <v>1311287.51167</v>
      </c>
      <c r="H163" s="39" t="n">
        <f aca="false">F163-G163</f>
        <v>18586853.78833</v>
      </c>
      <c r="I163" s="39" t="n">
        <f aca="false">H163*'Assumptions &amp; Data'!G297</f>
        <v>3146754.34636427</v>
      </c>
      <c r="J163" s="39" t="n">
        <f aca="false">E163*'Assumptions &amp; Data'!H297</f>
        <v>381500.23</v>
      </c>
      <c r="K163" s="39" t="n">
        <f aca="false">H163*'Assumptions &amp; Data'!I297</f>
        <v>505562.423042576</v>
      </c>
      <c r="L163" s="39" t="n">
        <f aca="false">H163*'Assumptions &amp; Data'!J297</f>
        <v>579909.838195896</v>
      </c>
      <c r="M163" s="39" t="n">
        <f aca="false">I163+J163+K163-L163</f>
        <v>3453907.16121095</v>
      </c>
      <c r="N163" s="39" t="n">
        <f aca="false">E163*'Assumptions &amp; Data'!N297</f>
        <v>1121441.38</v>
      </c>
      <c r="O163" s="39" t="n">
        <f aca="false">E163*'Assumptions &amp; Data'!O297</f>
        <v>308527.73</v>
      </c>
      <c r="P163" s="39" t="n">
        <f aca="false">H163*'Assumptions &amp; Data'!P297</f>
        <v>187727.223262133</v>
      </c>
      <c r="Q163" s="39" t="n">
        <f aca="false">M163-N163-O163-P163</f>
        <v>1836210.82794882</v>
      </c>
      <c r="R163" s="39" t="n">
        <f aca="false">'Assumptions &amp; Data'!L297*'Assumptions &amp; Data'!M297</f>
        <v>528825</v>
      </c>
      <c r="S163" s="37" t="n">
        <f aca="false">'Assumptions &amp; Data'!Q297</f>
        <v>544000</v>
      </c>
      <c r="T163" s="37" t="n">
        <f aca="false">'Assumptions &amp; Data'!R297</f>
        <v>168602</v>
      </c>
      <c r="U163" s="37" t="n">
        <f aca="false">'Assumptions &amp; Data'!S297</f>
        <v>196441</v>
      </c>
      <c r="V163" s="39" t="n">
        <f aca="false">Q163-R163-S163-T163-U163</f>
        <v>398342.827948816</v>
      </c>
      <c r="W163" s="39" t="n">
        <f aca="false">DAY(EOMONTH(C163,0))</f>
        <v>30</v>
      </c>
      <c r="X163" s="40" t="n">
        <f aca="false">E163/W163</f>
        <v>972.966666666667</v>
      </c>
      <c r="Y163" s="39" t="n">
        <f aca="false">R163+S163+T163+U163</f>
        <v>1437868</v>
      </c>
    </row>
    <row r="164" customFormat="false" ht="15" hidden="false" customHeight="false" outlineLevel="0" collapsed="false">
      <c r="A164" s="37" t="str">
        <f aca="false">'Assumptions &amp; Data'!A298</f>
        <v>SM0094</v>
      </c>
      <c r="B164" s="37" t="str">
        <f aca="false">'Assumptions &amp; Data'!B298</f>
        <v>DS008</v>
      </c>
      <c r="C164" s="38" t="n">
        <f aca="false">'Assumptions &amp; Data'!C298</f>
        <v>46204</v>
      </c>
      <c r="D164" s="39" t="str">
        <f aca="false">INDEX('Assumptions &amp; Data'!$B$142:$B$201,MATCH(B164,'Assumptions &amp; Data'!$A$142:$A$201,0))</f>
        <v>Delhi NCR</v>
      </c>
      <c r="E164" s="37" t="n">
        <f aca="false">'Assumptions &amp; Data'!D298</f>
        <v>32271</v>
      </c>
      <c r="F164" s="39" t="n">
        <f aca="false">E164*'Assumptions &amp; Data'!E298</f>
        <v>22095953.7</v>
      </c>
      <c r="G164" s="39" t="n">
        <f aca="false">F164*'Assumptions &amp; Data'!F298</f>
        <v>1489267.27938</v>
      </c>
      <c r="H164" s="39" t="n">
        <f aca="false">F164-G164</f>
        <v>20606686.42062</v>
      </c>
      <c r="I164" s="39" t="n">
        <f aca="false">H164*'Assumptions &amp; Data'!G298</f>
        <v>3466044.65594828</v>
      </c>
      <c r="J164" s="39" t="n">
        <f aca="false">E164*'Assumptions &amp; Data'!H298</f>
        <v>400160.4</v>
      </c>
      <c r="K164" s="39" t="n">
        <f aca="false">H164*'Assumptions &amp; Data'!I298</f>
        <v>581108.557061484</v>
      </c>
      <c r="L164" s="39" t="n">
        <f aca="false">H164*'Assumptions &amp; Data'!J298</f>
        <v>671777.977312212</v>
      </c>
      <c r="M164" s="39" t="n">
        <f aca="false">I164+J164+K164-L164</f>
        <v>3775535.63569756</v>
      </c>
      <c r="N164" s="39" t="n">
        <f aca="false">E164*'Assumptions &amp; Data'!N298</f>
        <v>1221134.64</v>
      </c>
      <c r="O164" s="39" t="n">
        <f aca="false">E164*'Assumptions &amp; Data'!O298</f>
        <v>338522.79</v>
      </c>
      <c r="P164" s="39" t="n">
        <f aca="false">H164*'Assumptions &amp; Data'!P298</f>
        <v>204006.195564138</v>
      </c>
      <c r="Q164" s="39" t="n">
        <f aca="false">M164-N164-O164-P164</f>
        <v>2011872.01013342</v>
      </c>
      <c r="R164" s="39" t="n">
        <f aca="false">'Assumptions &amp; Data'!L298*'Assumptions &amp; Data'!M298</f>
        <v>592816</v>
      </c>
      <c r="S164" s="37" t="n">
        <f aca="false">'Assumptions &amp; Data'!Q298</f>
        <v>544000</v>
      </c>
      <c r="T164" s="37" t="n">
        <f aca="false">'Assumptions &amp; Data'!R298</f>
        <v>164887</v>
      </c>
      <c r="U164" s="37" t="n">
        <f aca="false">'Assumptions &amp; Data'!S298</f>
        <v>191205</v>
      </c>
      <c r="V164" s="39" t="n">
        <f aca="false">Q164-R164-S164-T164-U164</f>
        <v>518964.010133418</v>
      </c>
      <c r="W164" s="39" t="n">
        <f aca="false">DAY(EOMONTH(C164,0))</f>
        <v>31</v>
      </c>
      <c r="X164" s="40" t="n">
        <f aca="false">E164/W164</f>
        <v>1041</v>
      </c>
      <c r="Y164" s="39" t="n">
        <f aca="false">R164+S164+T164+U164</f>
        <v>1492908</v>
      </c>
    </row>
    <row r="165" customFormat="false" ht="15" hidden="false" customHeight="false" outlineLevel="0" collapsed="false">
      <c r="A165" s="37" t="str">
        <f aca="false">'Assumptions &amp; Data'!A299</f>
        <v>SM0095</v>
      </c>
      <c r="B165" s="37" t="str">
        <f aca="false">'Assumptions &amp; Data'!B299</f>
        <v>DS008</v>
      </c>
      <c r="C165" s="38" t="n">
        <f aca="false">'Assumptions &amp; Data'!C299</f>
        <v>46235</v>
      </c>
      <c r="D165" s="39" t="str">
        <f aca="false">INDEX('Assumptions &amp; Data'!$B$142:$B$201,MATCH(B165,'Assumptions &amp; Data'!$A$142:$A$201,0))</f>
        <v>Delhi NCR</v>
      </c>
      <c r="E165" s="37" t="n">
        <f aca="false">'Assumptions &amp; Data'!D299</f>
        <v>32270</v>
      </c>
      <c r="F165" s="39" t="n">
        <f aca="false">E165*'Assumptions &amp; Data'!E299</f>
        <v>22740669</v>
      </c>
      <c r="G165" s="39" t="n">
        <f aca="false">F165*'Assumptions &amp; Data'!F299</f>
        <v>1469047.2174</v>
      </c>
      <c r="H165" s="39" t="n">
        <f aca="false">F165-G165</f>
        <v>21271621.7826</v>
      </c>
      <c r="I165" s="39" t="n">
        <f aca="false">H165*'Assumptions &amp; Data'!G299</f>
        <v>3577886.78383332</v>
      </c>
      <c r="J165" s="39" t="n">
        <f aca="false">E165*'Assumptions &amp; Data'!H299</f>
        <v>394016.7</v>
      </c>
      <c r="K165" s="39" t="n">
        <f aca="false">H165*'Assumptions &amp; Data'!I299</f>
        <v>640275.81565626</v>
      </c>
      <c r="L165" s="39" t="n">
        <f aca="false">H165*'Assumptions &amp; Data'!J299</f>
        <v>701963.5188258</v>
      </c>
      <c r="M165" s="39" t="n">
        <f aca="false">I165+J165+K165-L165</f>
        <v>3910215.78066378</v>
      </c>
      <c r="N165" s="39" t="n">
        <f aca="false">E165*'Assumptions &amp; Data'!N299</f>
        <v>1205607.2</v>
      </c>
      <c r="O165" s="39" t="n">
        <f aca="false">E165*'Assumptions &amp; Data'!O299</f>
        <v>334639.9</v>
      </c>
      <c r="P165" s="39" t="n">
        <f aca="false">H165*'Assumptions &amp; Data'!P299</f>
        <v>223352.0287173</v>
      </c>
      <c r="Q165" s="39" t="n">
        <f aca="false">M165-N165-O165-P165</f>
        <v>2146616.65194648</v>
      </c>
      <c r="R165" s="39" t="n">
        <f aca="false">'Assumptions &amp; Data'!L299*'Assumptions &amp; Data'!M299</f>
        <v>550966</v>
      </c>
      <c r="S165" s="37" t="n">
        <f aca="false">'Assumptions &amp; Data'!Q299</f>
        <v>544000</v>
      </c>
      <c r="T165" s="37" t="n">
        <f aca="false">'Assumptions &amp; Data'!R299</f>
        <v>162379</v>
      </c>
      <c r="U165" s="37" t="n">
        <f aca="false">'Assumptions &amp; Data'!S299</f>
        <v>206079</v>
      </c>
      <c r="V165" s="39" t="n">
        <f aca="false">Q165-R165-S165-T165-U165</f>
        <v>683192.65194648</v>
      </c>
      <c r="W165" s="39" t="n">
        <f aca="false">DAY(EOMONTH(C165,0))</f>
        <v>31</v>
      </c>
      <c r="X165" s="40" t="n">
        <f aca="false">E165/W165</f>
        <v>1040.96774193548</v>
      </c>
      <c r="Y165" s="39" t="n">
        <f aca="false">R165+S165+T165+U165</f>
        <v>1463424</v>
      </c>
    </row>
    <row r="166" customFormat="false" ht="15" hidden="false" customHeight="false" outlineLevel="0" collapsed="false">
      <c r="A166" s="37" t="str">
        <f aca="false">'Assumptions &amp; Data'!A300</f>
        <v>SM0096</v>
      </c>
      <c r="B166" s="37" t="str">
        <f aca="false">'Assumptions &amp; Data'!B300</f>
        <v>DS008</v>
      </c>
      <c r="C166" s="38" t="n">
        <f aca="false">'Assumptions &amp; Data'!C300</f>
        <v>46266</v>
      </c>
      <c r="D166" s="39" t="str">
        <f aca="false">INDEX('Assumptions &amp; Data'!$B$142:$B$201,MATCH(B166,'Assumptions &amp; Data'!$A$142:$A$201,0))</f>
        <v>Delhi NCR</v>
      </c>
      <c r="E166" s="37" t="n">
        <f aca="false">'Assumptions &amp; Data'!D300</f>
        <v>31294</v>
      </c>
      <c r="F166" s="39" t="n">
        <f aca="false">E166*'Assumptions &amp; Data'!E300</f>
        <v>21564695.4</v>
      </c>
      <c r="G166" s="39" t="n">
        <f aca="false">F166*'Assumptions &amp; Data'!F300</f>
        <v>1496589.86076</v>
      </c>
      <c r="H166" s="39" t="n">
        <f aca="false">F166-G166</f>
        <v>20068105.53924</v>
      </c>
      <c r="I166" s="39" t="n">
        <f aca="false">H166*'Assumptions &amp; Data'!G300</f>
        <v>3395523.45723941</v>
      </c>
      <c r="J166" s="39" t="n">
        <f aca="false">E166*'Assumptions &amp; Data'!H300</f>
        <v>386480.9</v>
      </c>
      <c r="K166" s="39" t="n">
        <f aca="false">H166*'Assumptions &amp; Data'!I300</f>
        <v>559900.144544796</v>
      </c>
      <c r="L166" s="39" t="n">
        <f aca="false">H166*'Assumptions &amp; Data'!J300</f>
        <v>628131.703378212</v>
      </c>
      <c r="M166" s="39" t="n">
        <f aca="false">I166+J166+K166-L166</f>
        <v>3713772.79840599</v>
      </c>
      <c r="N166" s="39" t="n">
        <f aca="false">E166*'Assumptions &amp; Data'!N300</f>
        <v>1188546.12</v>
      </c>
      <c r="O166" s="39" t="n">
        <f aca="false">E166*'Assumptions &amp; Data'!O300</f>
        <v>326396.42</v>
      </c>
      <c r="P166" s="39" t="n">
        <f aca="false">H166*'Assumptions &amp; Data'!P300</f>
        <v>202687.865946324</v>
      </c>
      <c r="Q166" s="39" t="n">
        <f aca="false">M166-N166-O166-P166</f>
        <v>1996142.39245967</v>
      </c>
      <c r="R166" s="39" t="n">
        <f aca="false">'Assumptions &amp; Data'!L300*'Assumptions &amp; Data'!M300</f>
        <v>551460</v>
      </c>
      <c r="S166" s="37" t="n">
        <f aca="false">'Assumptions &amp; Data'!Q300</f>
        <v>544000</v>
      </c>
      <c r="T166" s="37" t="n">
        <f aca="false">'Assumptions &amp; Data'!R300</f>
        <v>167787</v>
      </c>
      <c r="U166" s="37" t="n">
        <f aca="false">'Assumptions &amp; Data'!S300</f>
        <v>195403</v>
      </c>
      <c r="V166" s="39" t="n">
        <f aca="false">Q166-R166-S166-T166-U166</f>
        <v>537492.392459668</v>
      </c>
      <c r="W166" s="39" t="n">
        <f aca="false">DAY(EOMONTH(C166,0))</f>
        <v>30</v>
      </c>
      <c r="X166" s="40" t="n">
        <f aca="false">E166/W166</f>
        <v>1043.13333333333</v>
      </c>
      <c r="Y166" s="39" t="n">
        <f aca="false">R166+S166+T166+U166</f>
        <v>1458650</v>
      </c>
    </row>
    <row r="167" customFormat="false" ht="15" hidden="false" customHeight="false" outlineLevel="0" collapsed="false">
      <c r="A167" s="37" t="str">
        <f aca="false">'Assumptions &amp; Data'!A301</f>
        <v>SM0097</v>
      </c>
      <c r="B167" s="37" t="str">
        <f aca="false">'Assumptions &amp; Data'!B301</f>
        <v>DS009</v>
      </c>
      <c r="C167" s="38" t="n">
        <f aca="false">'Assumptions &amp; Data'!C301</f>
        <v>45931</v>
      </c>
      <c r="D167" s="39" t="str">
        <f aca="false">INDEX('Assumptions &amp; Data'!$B$142:$B$201,MATCH(B167,'Assumptions &amp; Data'!$A$142:$A$201,0))</f>
        <v>Delhi NCR</v>
      </c>
      <c r="E167" s="37" t="n">
        <f aca="false">'Assumptions &amp; Data'!D301</f>
        <v>43906</v>
      </c>
      <c r="F167" s="39" t="n">
        <f aca="false">E167*'Assumptions &amp; Data'!E301</f>
        <v>31809897</v>
      </c>
      <c r="G167" s="39" t="n">
        <f aca="false">F167*'Assumptions &amp; Data'!F301</f>
        <v>1701829.4895</v>
      </c>
      <c r="H167" s="39" t="n">
        <f aca="false">F167-G167</f>
        <v>30108067.5105</v>
      </c>
      <c r="I167" s="39" t="n">
        <f aca="false">H167*'Assumptions &amp; Data'!G301</f>
        <v>4982885.17298775</v>
      </c>
      <c r="J167" s="39" t="n">
        <f aca="false">E167*'Assumptions &amp; Data'!H301</f>
        <v>518968.92</v>
      </c>
      <c r="K167" s="39" t="n">
        <f aca="false">H167*'Assumptions &amp; Data'!I301</f>
        <v>1017652.6818549</v>
      </c>
      <c r="L167" s="39" t="n">
        <f aca="false">H167*'Assumptions &amp; Data'!J301</f>
        <v>611193.77046315</v>
      </c>
      <c r="M167" s="39" t="n">
        <f aca="false">I167+J167+K167-L167</f>
        <v>5908313.0043795</v>
      </c>
      <c r="N167" s="39" t="n">
        <f aca="false">E167*'Assumptions &amp; Data'!N301</f>
        <v>1545052.14</v>
      </c>
      <c r="O167" s="39" t="n">
        <f aca="false">E167*'Assumptions &amp; Data'!O301</f>
        <v>453988.04</v>
      </c>
      <c r="P167" s="39" t="n">
        <f aca="false">H167*'Assumptions &amp; Data'!P301</f>
        <v>313123.9021092</v>
      </c>
      <c r="Q167" s="39" t="n">
        <f aca="false">M167-N167-O167-P167</f>
        <v>3596148.9222703</v>
      </c>
      <c r="R167" s="39" t="n">
        <f aca="false">'Assumptions &amp; Data'!L301*'Assumptions &amp; Data'!M301</f>
        <v>861000</v>
      </c>
      <c r="S167" s="37" t="n">
        <f aca="false">'Assumptions &amp; Data'!Q301</f>
        <v>656000</v>
      </c>
      <c r="T167" s="37" t="n">
        <f aca="false">'Assumptions &amp; Data'!R301</f>
        <v>167654</v>
      </c>
      <c r="U167" s="37" t="n">
        <f aca="false">'Assumptions &amp; Data'!S301</f>
        <v>224952</v>
      </c>
      <c r="V167" s="39" t="n">
        <f aca="false">Q167-R167-S167-T167-U167</f>
        <v>1686542.9222703</v>
      </c>
      <c r="W167" s="39" t="n">
        <f aca="false">DAY(EOMONTH(C167,0))</f>
        <v>31</v>
      </c>
      <c r="X167" s="40" t="n">
        <f aca="false">E167/W167</f>
        <v>1416.32258064516</v>
      </c>
      <c r="Y167" s="39" t="n">
        <f aca="false">R167+S167+T167+U167</f>
        <v>1909606</v>
      </c>
    </row>
    <row r="168" customFormat="false" ht="15" hidden="false" customHeight="false" outlineLevel="0" collapsed="false">
      <c r="A168" s="37" t="str">
        <f aca="false">'Assumptions &amp; Data'!A302</f>
        <v>SM0098</v>
      </c>
      <c r="B168" s="37" t="str">
        <f aca="false">'Assumptions &amp; Data'!B302</f>
        <v>DS009</v>
      </c>
      <c r="C168" s="38" t="n">
        <f aca="false">'Assumptions &amp; Data'!C302</f>
        <v>45962</v>
      </c>
      <c r="D168" s="39" t="str">
        <f aca="false">INDEX('Assumptions &amp; Data'!$B$142:$B$201,MATCH(B168,'Assumptions &amp; Data'!$A$142:$A$201,0))</f>
        <v>Delhi NCR</v>
      </c>
      <c r="E168" s="37" t="n">
        <f aca="false">'Assumptions &amp; Data'!D302</f>
        <v>42399</v>
      </c>
      <c r="F168" s="39" t="n">
        <f aca="false">E168*'Assumptions &amp; Data'!E302</f>
        <v>29420666.1</v>
      </c>
      <c r="G168" s="39" t="n">
        <f aca="false">F168*'Assumptions &amp; Data'!F302</f>
        <v>1494569.83788</v>
      </c>
      <c r="H168" s="39" t="n">
        <f aca="false">F168-G168</f>
        <v>27926096.26212</v>
      </c>
      <c r="I168" s="39" t="n">
        <f aca="false">H168*'Assumptions &amp; Data'!G302</f>
        <v>4683206.34315752</v>
      </c>
      <c r="J168" s="39" t="n">
        <f aca="false">E168*'Assumptions &amp; Data'!H302</f>
        <v>487164.51</v>
      </c>
      <c r="K168" s="39" t="n">
        <f aca="false">H168*'Assumptions &amp; Data'!I302</f>
        <v>899220.299640264</v>
      </c>
      <c r="L168" s="39" t="n">
        <f aca="false">H168*'Assumptions &amp; Data'!J302</f>
        <v>589240.631130732</v>
      </c>
      <c r="M168" s="39" t="n">
        <f aca="false">I168+J168+K168-L168</f>
        <v>5480350.52166706</v>
      </c>
      <c r="N168" s="39" t="n">
        <f aca="false">E168*'Assumptions &amp; Data'!N302</f>
        <v>1525516.02</v>
      </c>
      <c r="O168" s="39" t="n">
        <f aca="false">E168*'Assumptions &amp; Data'!O302</f>
        <v>441797.58</v>
      </c>
      <c r="P168" s="39" t="n">
        <f aca="false">H168*'Assumptions &amp; Data'!P302</f>
        <v>287638.791499836</v>
      </c>
      <c r="Q168" s="39" t="n">
        <f aca="false">M168-N168-O168-P168</f>
        <v>3225398.13016722</v>
      </c>
      <c r="R168" s="39" t="n">
        <f aca="false">'Assumptions &amp; Data'!L302*'Assumptions &amp; Data'!M302</f>
        <v>903817</v>
      </c>
      <c r="S168" s="37" t="n">
        <f aca="false">'Assumptions &amp; Data'!Q302</f>
        <v>656000</v>
      </c>
      <c r="T168" s="37" t="n">
        <f aca="false">'Assumptions &amp; Data'!R302</f>
        <v>158505</v>
      </c>
      <c r="U168" s="37" t="n">
        <f aca="false">'Assumptions &amp; Data'!S302</f>
        <v>244906</v>
      </c>
      <c r="V168" s="39" t="n">
        <f aca="false">Q168-R168-S168-T168-U168</f>
        <v>1262170.13016722</v>
      </c>
      <c r="W168" s="39" t="n">
        <f aca="false">DAY(EOMONTH(C168,0))</f>
        <v>30</v>
      </c>
      <c r="X168" s="40" t="n">
        <f aca="false">E168/W168</f>
        <v>1413.3</v>
      </c>
      <c r="Y168" s="39" t="n">
        <f aca="false">R168+S168+T168+U168</f>
        <v>1963228</v>
      </c>
    </row>
    <row r="169" customFormat="false" ht="15" hidden="false" customHeight="false" outlineLevel="0" collapsed="false">
      <c r="A169" s="37" t="str">
        <f aca="false">'Assumptions &amp; Data'!A303</f>
        <v>SM0099</v>
      </c>
      <c r="B169" s="37" t="str">
        <f aca="false">'Assumptions &amp; Data'!B303</f>
        <v>DS009</v>
      </c>
      <c r="C169" s="38" t="n">
        <f aca="false">'Assumptions &amp; Data'!C303</f>
        <v>45992</v>
      </c>
      <c r="D169" s="39" t="str">
        <f aca="false">INDEX('Assumptions &amp; Data'!$B$142:$B$201,MATCH(B169,'Assumptions &amp; Data'!$A$142:$A$201,0))</f>
        <v>Delhi NCR</v>
      </c>
      <c r="E169" s="37" t="n">
        <f aca="false">'Assumptions &amp; Data'!D303</f>
        <v>43514</v>
      </c>
      <c r="F169" s="39" t="n">
        <f aca="false">E169*'Assumptions &amp; Data'!E303</f>
        <v>30237878.6</v>
      </c>
      <c r="G169" s="39" t="n">
        <f aca="false">F169*'Assumptions &amp; Data'!F303</f>
        <v>1593536.20222</v>
      </c>
      <c r="H169" s="39" t="n">
        <f aca="false">F169-G169</f>
        <v>28644342.39778</v>
      </c>
      <c r="I169" s="39" t="n">
        <f aca="false">H169*'Assumptions &amp; Data'!G303</f>
        <v>4815113.95706682</v>
      </c>
      <c r="J169" s="39" t="n">
        <f aca="false">E169*'Assumptions &amp; Data'!H303</f>
        <v>503456.98</v>
      </c>
      <c r="K169" s="39" t="n">
        <f aca="false">H169*'Assumptions &amp; Data'!I303</f>
        <v>933805.562167628</v>
      </c>
      <c r="L169" s="39" t="n">
        <f aca="false">H169*'Assumptions &amp; Data'!J303</f>
        <v>578615.716435156</v>
      </c>
      <c r="M169" s="39" t="n">
        <f aca="false">I169+J169+K169-L169</f>
        <v>5673760.78279929</v>
      </c>
      <c r="N169" s="39" t="n">
        <f aca="false">E169*'Assumptions &amp; Data'!N303</f>
        <v>1543441.58</v>
      </c>
      <c r="O169" s="39" t="n">
        <f aca="false">E169*'Assumptions &amp; Data'!O303</f>
        <v>455591.58</v>
      </c>
      <c r="P169" s="39" t="n">
        <f aca="false">H169*'Assumptions &amp; Data'!P303</f>
        <v>300765.59517669</v>
      </c>
      <c r="Q169" s="39" t="n">
        <f aca="false">M169-N169-O169-P169</f>
        <v>3373962.0276226</v>
      </c>
      <c r="R169" s="39" t="n">
        <f aca="false">'Assumptions &amp; Data'!L303*'Assumptions &amp; Data'!M303</f>
        <v>862558</v>
      </c>
      <c r="S169" s="37" t="n">
        <f aca="false">'Assumptions &amp; Data'!Q303</f>
        <v>656000</v>
      </c>
      <c r="T169" s="37" t="n">
        <f aca="false">'Assumptions &amp; Data'!R303</f>
        <v>163835</v>
      </c>
      <c r="U169" s="37" t="n">
        <f aca="false">'Assumptions &amp; Data'!S303</f>
        <v>226077</v>
      </c>
      <c r="V169" s="39" t="n">
        <f aca="false">Q169-R169-S169-T169-U169</f>
        <v>1465492.0276226</v>
      </c>
      <c r="W169" s="39" t="n">
        <f aca="false">DAY(EOMONTH(C169,0))</f>
        <v>31</v>
      </c>
      <c r="X169" s="40" t="n">
        <f aca="false">E169/W169</f>
        <v>1403.67741935484</v>
      </c>
      <c r="Y169" s="39" t="n">
        <f aca="false">R169+S169+T169+U169</f>
        <v>1908470</v>
      </c>
    </row>
    <row r="170" customFormat="false" ht="15" hidden="false" customHeight="false" outlineLevel="0" collapsed="false">
      <c r="A170" s="37" t="str">
        <f aca="false">'Assumptions &amp; Data'!A304</f>
        <v>SM0100</v>
      </c>
      <c r="B170" s="37" t="str">
        <f aca="false">'Assumptions &amp; Data'!B304</f>
        <v>DS009</v>
      </c>
      <c r="C170" s="38" t="n">
        <f aca="false">'Assumptions &amp; Data'!C304</f>
        <v>46023</v>
      </c>
      <c r="D170" s="39" t="str">
        <f aca="false">INDEX('Assumptions &amp; Data'!$B$142:$B$201,MATCH(B170,'Assumptions &amp; Data'!$A$142:$A$201,0))</f>
        <v>Delhi NCR</v>
      </c>
      <c r="E170" s="37" t="n">
        <f aca="false">'Assumptions &amp; Data'!D304</f>
        <v>42626</v>
      </c>
      <c r="F170" s="39" t="n">
        <f aca="false">E170*'Assumptions &amp; Data'!E304</f>
        <v>30243147</v>
      </c>
      <c r="G170" s="39" t="n">
        <f aca="false">F170*'Assumptions &amp; Data'!F304</f>
        <v>1572643.644</v>
      </c>
      <c r="H170" s="39" t="n">
        <f aca="false">F170-G170</f>
        <v>28670503.356</v>
      </c>
      <c r="I170" s="39" t="n">
        <f aca="false">H170*'Assumptions &amp; Data'!G304</f>
        <v>4644621.543672</v>
      </c>
      <c r="J170" s="39" t="n">
        <f aca="false">E170*'Assumptions &amp; Data'!H304</f>
        <v>500855.5</v>
      </c>
      <c r="K170" s="39" t="n">
        <f aca="false">H170*'Assumptions &amp; Data'!I304</f>
        <v>931791.35907</v>
      </c>
      <c r="L170" s="39" t="n">
        <f aca="false">H170*'Assumptions &amp; Data'!J304</f>
        <v>604947.6208116</v>
      </c>
      <c r="M170" s="39" t="n">
        <f aca="false">I170+J170+K170-L170</f>
        <v>5472320.7819304</v>
      </c>
      <c r="N170" s="39" t="n">
        <f aca="false">E170*'Assumptions &amp; Data'!N304</f>
        <v>1500861.46</v>
      </c>
      <c r="O170" s="39" t="n">
        <f aca="false">E170*'Assumptions &amp; Data'!O304</f>
        <v>441179.1</v>
      </c>
      <c r="P170" s="39" t="n">
        <f aca="false">H170*'Assumptions &amp; Data'!P304</f>
        <v>292439.1342312</v>
      </c>
      <c r="Q170" s="39" t="n">
        <f aca="false">M170-N170-O170-P170</f>
        <v>3237841.0876992</v>
      </c>
      <c r="R170" s="39" t="n">
        <f aca="false">'Assumptions &amp; Data'!L304*'Assumptions &amp; Data'!M304</f>
        <v>842280</v>
      </c>
      <c r="S170" s="37" t="n">
        <f aca="false">'Assumptions &amp; Data'!Q304</f>
        <v>656000</v>
      </c>
      <c r="T170" s="37" t="n">
        <f aca="false">'Assumptions &amp; Data'!R304</f>
        <v>171287</v>
      </c>
      <c r="U170" s="37" t="n">
        <f aca="false">'Assumptions &amp; Data'!S304</f>
        <v>218304</v>
      </c>
      <c r="V170" s="39" t="n">
        <f aca="false">Q170-R170-S170-T170-U170</f>
        <v>1349970.0876992</v>
      </c>
      <c r="W170" s="39" t="n">
        <f aca="false">DAY(EOMONTH(C170,0))</f>
        <v>31</v>
      </c>
      <c r="X170" s="40" t="n">
        <f aca="false">E170/W170</f>
        <v>1375.03225806452</v>
      </c>
      <c r="Y170" s="39" t="n">
        <f aca="false">R170+S170+T170+U170</f>
        <v>1887871</v>
      </c>
    </row>
    <row r="171" customFormat="false" ht="15" hidden="false" customHeight="false" outlineLevel="0" collapsed="false">
      <c r="A171" s="37" t="str">
        <f aca="false">'Assumptions &amp; Data'!A305</f>
        <v>SM0101</v>
      </c>
      <c r="B171" s="37" t="str">
        <f aca="false">'Assumptions &amp; Data'!B305</f>
        <v>DS009</v>
      </c>
      <c r="C171" s="38" t="n">
        <f aca="false">'Assumptions &amp; Data'!C305</f>
        <v>46054</v>
      </c>
      <c r="D171" s="39" t="str">
        <f aca="false">INDEX('Assumptions &amp; Data'!$B$142:$B$201,MATCH(B171,'Assumptions &amp; Data'!$A$142:$A$201,0))</f>
        <v>Delhi NCR</v>
      </c>
      <c r="E171" s="37" t="n">
        <f aca="false">'Assumptions &amp; Data'!D305</f>
        <v>38690</v>
      </c>
      <c r="F171" s="39" t="n">
        <f aca="false">E171*'Assumptions &amp; Data'!E305</f>
        <v>26943716</v>
      </c>
      <c r="G171" s="39" t="n">
        <f aca="false">F171*'Assumptions &amp; Data'!F305</f>
        <v>1387601.374</v>
      </c>
      <c r="H171" s="39" t="n">
        <f aca="false">F171-G171</f>
        <v>25556114.626</v>
      </c>
      <c r="I171" s="39" t="n">
        <f aca="false">H171*'Assumptions &amp; Data'!G305</f>
        <v>4247426.2508412</v>
      </c>
      <c r="J171" s="39" t="n">
        <f aca="false">E171*'Assumptions &amp; Data'!H305</f>
        <v>444548.1</v>
      </c>
      <c r="K171" s="39" t="n">
        <f aca="false">H171*'Assumptions &amp; Data'!I305</f>
        <v>866352.2858214</v>
      </c>
      <c r="L171" s="39" t="n">
        <f aca="false">H171*'Assumptions &amp; Data'!J305</f>
        <v>544345.2415338</v>
      </c>
      <c r="M171" s="39" t="n">
        <f aca="false">I171+J171+K171-L171</f>
        <v>5013981.3951288</v>
      </c>
      <c r="N171" s="39" t="n">
        <f aca="false">E171*'Assumptions &amp; Data'!N305</f>
        <v>1357245.2</v>
      </c>
      <c r="O171" s="39" t="n">
        <f aca="false">E171*'Assumptions &amp; Data'!O305</f>
        <v>402376</v>
      </c>
      <c r="P171" s="39" t="n">
        <f aca="false">H171*'Assumptions &amp; Data'!P305</f>
        <v>245338.7004096</v>
      </c>
      <c r="Q171" s="39" t="n">
        <f aca="false">M171-N171-O171-P171</f>
        <v>3009021.4947192</v>
      </c>
      <c r="R171" s="39" t="n">
        <f aca="false">'Assumptions &amp; Data'!L305*'Assumptions &amp; Data'!M305</f>
        <v>864116</v>
      </c>
      <c r="S171" s="37" t="n">
        <f aca="false">'Assumptions &amp; Data'!Q305</f>
        <v>656000</v>
      </c>
      <c r="T171" s="37" t="n">
        <f aca="false">'Assumptions &amp; Data'!R305</f>
        <v>159436</v>
      </c>
      <c r="U171" s="37" t="n">
        <f aca="false">'Assumptions &amp; Data'!S305</f>
        <v>183504</v>
      </c>
      <c r="V171" s="39" t="n">
        <f aca="false">Q171-R171-S171-T171-U171</f>
        <v>1145965.4947192</v>
      </c>
      <c r="W171" s="39" t="n">
        <f aca="false">DAY(EOMONTH(C171,0))</f>
        <v>28</v>
      </c>
      <c r="X171" s="40" t="n">
        <f aca="false">E171/W171</f>
        <v>1381.78571428571</v>
      </c>
      <c r="Y171" s="39" t="n">
        <f aca="false">R171+S171+T171+U171</f>
        <v>1863056</v>
      </c>
    </row>
    <row r="172" customFormat="false" ht="15" hidden="false" customHeight="false" outlineLevel="0" collapsed="false">
      <c r="A172" s="37" t="str">
        <f aca="false">'Assumptions &amp; Data'!A306</f>
        <v>SM0102</v>
      </c>
      <c r="B172" s="37" t="str">
        <f aca="false">'Assumptions &amp; Data'!B306</f>
        <v>DS009</v>
      </c>
      <c r="C172" s="38" t="n">
        <f aca="false">'Assumptions &amp; Data'!C306</f>
        <v>46082</v>
      </c>
      <c r="D172" s="39" t="str">
        <f aca="false">INDEX('Assumptions &amp; Data'!$B$142:$B$201,MATCH(B172,'Assumptions &amp; Data'!$A$142:$A$201,0))</f>
        <v>Delhi NCR</v>
      </c>
      <c r="E172" s="37" t="n">
        <f aca="false">'Assumptions &amp; Data'!D306</f>
        <v>40038</v>
      </c>
      <c r="F172" s="39" t="n">
        <f aca="false">E172*'Assumptions &amp; Data'!E306</f>
        <v>27638231.4</v>
      </c>
      <c r="G172" s="39" t="n">
        <f aca="false">F172*'Assumptions &amp; Data'!F306</f>
        <v>1448243.32536</v>
      </c>
      <c r="H172" s="39" t="n">
        <f aca="false">F172-G172</f>
        <v>26189988.07464</v>
      </c>
      <c r="I172" s="39" t="n">
        <f aca="false">H172*'Assumptions &amp; Data'!G306</f>
        <v>4384204.00369474</v>
      </c>
      <c r="J172" s="39" t="n">
        <f aca="false">E172*'Assumptions &amp; Data'!H306</f>
        <v>482457.9</v>
      </c>
      <c r="K172" s="39" t="n">
        <f aca="false">H172*'Assumptions &amp; Data'!I306</f>
        <v>853793.611233264</v>
      </c>
      <c r="L172" s="39" t="n">
        <f aca="false">H172*'Assumptions &amp; Data'!J306</f>
        <v>557846.745989832</v>
      </c>
      <c r="M172" s="39" t="n">
        <f aca="false">I172+J172+K172-L172</f>
        <v>5162608.76893817</v>
      </c>
      <c r="N172" s="39" t="n">
        <f aca="false">E172*'Assumptions &amp; Data'!N306</f>
        <v>1418145.96</v>
      </c>
      <c r="O172" s="39" t="n">
        <f aca="false">E172*'Assumptions &amp; Data'!O306</f>
        <v>409188.36</v>
      </c>
      <c r="P172" s="39" t="n">
        <f aca="false">H172*'Assumptions &amp; Data'!P306</f>
        <v>264518.879553864</v>
      </c>
      <c r="Q172" s="39" t="n">
        <f aca="false">M172-N172-O172-P172</f>
        <v>3070755.5693843</v>
      </c>
      <c r="R172" s="39" t="n">
        <f aca="false">'Assumptions &amp; Data'!L306*'Assumptions &amp; Data'!M306</f>
        <v>822705</v>
      </c>
      <c r="S172" s="37" t="n">
        <f aca="false">'Assumptions &amp; Data'!Q306</f>
        <v>656000</v>
      </c>
      <c r="T172" s="37" t="n">
        <f aca="false">'Assumptions &amp; Data'!R306</f>
        <v>173857</v>
      </c>
      <c r="U172" s="37" t="n">
        <f aca="false">'Assumptions &amp; Data'!S306</f>
        <v>180373</v>
      </c>
      <c r="V172" s="39" t="n">
        <f aca="false">Q172-R172-S172-T172-U172</f>
        <v>1237820.5693843</v>
      </c>
      <c r="W172" s="39" t="n">
        <f aca="false">DAY(EOMONTH(C172,0))</f>
        <v>31</v>
      </c>
      <c r="X172" s="40" t="n">
        <f aca="false">E172/W172</f>
        <v>1291.54838709677</v>
      </c>
      <c r="Y172" s="39" t="n">
        <f aca="false">R172+S172+T172+U172</f>
        <v>1832935</v>
      </c>
    </row>
    <row r="173" customFormat="false" ht="15" hidden="false" customHeight="false" outlineLevel="0" collapsed="false">
      <c r="A173" s="37" t="str">
        <f aca="false">'Assumptions &amp; Data'!A307</f>
        <v>SM0103</v>
      </c>
      <c r="B173" s="37" t="str">
        <f aca="false">'Assumptions &amp; Data'!B307</f>
        <v>DS009</v>
      </c>
      <c r="C173" s="38" t="n">
        <f aca="false">'Assumptions &amp; Data'!C307</f>
        <v>46113</v>
      </c>
      <c r="D173" s="39" t="str">
        <f aca="false">INDEX('Assumptions &amp; Data'!$B$142:$B$201,MATCH(B173,'Assumptions &amp; Data'!$A$142:$A$201,0))</f>
        <v>Delhi NCR</v>
      </c>
      <c r="E173" s="37" t="n">
        <f aca="false">'Assumptions &amp; Data'!D307</f>
        <v>43288</v>
      </c>
      <c r="F173" s="39" t="n">
        <f aca="false">E173*'Assumptions &amp; Data'!E307</f>
        <v>30396833.6</v>
      </c>
      <c r="G173" s="39" t="n">
        <f aca="false">F173*'Assumptions &amp; Data'!F307</f>
        <v>1562397.24704</v>
      </c>
      <c r="H173" s="39" t="n">
        <f aca="false">F173-G173</f>
        <v>28834436.35296</v>
      </c>
      <c r="I173" s="39" t="n">
        <f aca="false">H173*'Assumptions &amp; Data'!G307</f>
        <v>4855719.08183846</v>
      </c>
      <c r="J173" s="39" t="n">
        <f aca="false">E173*'Assumptions &amp; Data'!H307</f>
        <v>484392.72</v>
      </c>
      <c r="K173" s="39" t="n">
        <f aca="false">H173*'Assumptions &amp; Data'!I307</f>
        <v>928468.850565312</v>
      </c>
      <c r="L173" s="39" t="n">
        <f aca="false">H173*'Assumptions &amp; Data'!J307</f>
        <v>602639.719776864</v>
      </c>
      <c r="M173" s="39" t="n">
        <f aca="false">I173+J173+K173-L173</f>
        <v>5665940.93262691</v>
      </c>
      <c r="N173" s="39" t="n">
        <f aca="false">E173*'Assumptions &amp; Data'!N307</f>
        <v>1515080</v>
      </c>
      <c r="O173" s="39" t="n">
        <f aca="false">E173*'Assumptions &amp; Data'!O307</f>
        <v>437208.8</v>
      </c>
      <c r="P173" s="39" t="n">
        <f aca="false">H173*'Assumptions &amp; Data'!P307</f>
        <v>271043.701717824</v>
      </c>
      <c r="Q173" s="39" t="n">
        <f aca="false">M173-N173-O173-P173</f>
        <v>3442608.43090909</v>
      </c>
      <c r="R173" s="39" t="n">
        <f aca="false">'Assumptions &amp; Data'!L307*'Assumptions &amp; Data'!M307</f>
        <v>865715</v>
      </c>
      <c r="S173" s="37" t="n">
        <f aca="false">'Assumptions &amp; Data'!Q307</f>
        <v>656000</v>
      </c>
      <c r="T173" s="37" t="n">
        <f aca="false">'Assumptions &amp; Data'!R307</f>
        <v>174188</v>
      </c>
      <c r="U173" s="37" t="n">
        <f aca="false">'Assumptions &amp; Data'!S307</f>
        <v>196215</v>
      </c>
      <c r="V173" s="39" t="n">
        <f aca="false">Q173-R173-S173-T173-U173</f>
        <v>1550490.43090909</v>
      </c>
      <c r="W173" s="39" t="n">
        <f aca="false">DAY(EOMONTH(C173,0))</f>
        <v>30</v>
      </c>
      <c r="X173" s="40" t="n">
        <f aca="false">E173/W173</f>
        <v>1442.93333333333</v>
      </c>
      <c r="Y173" s="39" t="n">
        <f aca="false">R173+S173+T173+U173</f>
        <v>1892118</v>
      </c>
    </row>
    <row r="174" customFormat="false" ht="15" hidden="false" customHeight="false" outlineLevel="0" collapsed="false">
      <c r="A174" s="37" t="str">
        <f aca="false">'Assumptions &amp; Data'!A308</f>
        <v>SM0104</v>
      </c>
      <c r="B174" s="37" t="str">
        <f aca="false">'Assumptions &amp; Data'!B308</f>
        <v>DS009</v>
      </c>
      <c r="C174" s="38" t="n">
        <f aca="false">'Assumptions &amp; Data'!C308</f>
        <v>46143</v>
      </c>
      <c r="D174" s="39" t="str">
        <f aca="false">INDEX('Assumptions &amp; Data'!$B$142:$B$201,MATCH(B174,'Assumptions &amp; Data'!$A$142:$A$201,0))</f>
        <v>Delhi NCR</v>
      </c>
      <c r="E174" s="37" t="n">
        <f aca="false">'Assumptions &amp; Data'!D308</f>
        <v>46398</v>
      </c>
      <c r="F174" s="39" t="n">
        <f aca="false">E174*'Assumptions &amp; Data'!E308</f>
        <v>33907658.4</v>
      </c>
      <c r="G174" s="39" t="n">
        <f aca="false">F174*'Assumptions &amp; Data'!F308</f>
        <v>1722509.04672</v>
      </c>
      <c r="H174" s="39" t="n">
        <f aca="false">F174-G174</f>
        <v>32185149.35328</v>
      </c>
      <c r="I174" s="39" t="n">
        <f aca="false">H174*'Assumptions &amp; Data'!G308</f>
        <v>5349171.82251514</v>
      </c>
      <c r="J174" s="39" t="n">
        <f aca="false">E174*'Assumptions &amp; Data'!H308</f>
        <v>555848.04</v>
      </c>
      <c r="K174" s="39" t="n">
        <f aca="false">H174*'Assumptions &amp; Data'!I308</f>
        <v>1039580.32411094</v>
      </c>
      <c r="L174" s="39" t="n">
        <f aca="false">H174*'Assumptions &amp; Data'!J308</f>
        <v>672669.621483552</v>
      </c>
      <c r="M174" s="39" t="n">
        <f aca="false">I174+J174+K174-L174</f>
        <v>6271930.56514253</v>
      </c>
      <c r="N174" s="39" t="n">
        <f aca="false">E174*'Assumptions &amp; Data'!N308</f>
        <v>1642489.2</v>
      </c>
      <c r="O174" s="39" t="n">
        <f aca="false">E174*'Assumptions &amp; Data'!O308</f>
        <v>492746.76</v>
      </c>
      <c r="P174" s="39" t="n">
        <f aca="false">H174*'Assumptions &amp; Data'!P308</f>
        <v>312195.948726816</v>
      </c>
      <c r="Q174" s="39" t="n">
        <f aca="false">M174-N174-O174-P174</f>
        <v>3824498.65641571</v>
      </c>
      <c r="R174" s="39" t="n">
        <f aca="false">'Assumptions &amp; Data'!L308*'Assumptions &amp; Data'!M308</f>
        <v>951030</v>
      </c>
      <c r="S174" s="37" t="n">
        <f aca="false">'Assumptions &amp; Data'!Q308</f>
        <v>656000</v>
      </c>
      <c r="T174" s="37" t="n">
        <f aca="false">'Assumptions &amp; Data'!R308</f>
        <v>156284</v>
      </c>
      <c r="U174" s="37" t="n">
        <f aca="false">'Assumptions &amp; Data'!S308</f>
        <v>225674</v>
      </c>
      <c r="V174" s="39" t="n">
        <f aca="false">Q174-R174-S174-T174-U174</f>
        <v>1835510.65641571</v>
      </c>
      <c r="W174" s="39" t="n">
        <f aca="false">DAY(EOMONTH(C174,0))</f>
        <v>31</v>
      </c>
      <c r="X174" s="40" t="n">
        <f aca="false">E174/W174</f>
        <v>1496.70967741935</v>
      </c>
      <c r="Y174" s="39" t="n">
        <f aca="false">R174+S174+T174+U174</f>
        <v>1988988</v>
      </c>
    </row>
    <row r="175" customFormat="false" ht="15" hidden="false" customHeight="false" outlineLevel="0" collapsed="false">
      <c r="A175" s="37" t="str">
        <f aca="false">'Assumptions &amp; Data'!A309</f>
        <v>SM0105</v>
      </c>
      <c r="B175" s="37" t="str">
        <f aca="false">'Assumptions &amp; Data'!B309</f>
        <v>DS009</v>
      </c>
      <c r="C175" s="38" t="n">
        <f aca="false">'Assumptions &amp; Data'!C309</f>
        <v>46174</v>
      </c>
      <c r="D175" s="39" t="str">
        <f aca="false">INDEX('Assumptions &amp; Data'!$B$142:$B$201,MATCH(B175,'Assumptions &amp; Data'!$A$142:$A$201,0))</f>
        <v>Delhi NCR</v>
      </c>
      <c r="E175" s="37" t="n">
        <f aca="false">'Assumptions &amp; Data'!D309</f>
        <v>44497</v>
      </c>
      <c r="F175" s="39" t="n">
        <f aca="false">E175*'Assumptions &amp; Data'!E309</f>
        <v>31076704.8</v>
      </c>
      <c r="G175" s="39" t="n">
        <f aca="false">F175*'Assumptions &amp; Data'!F309</f>
        <v>1653280.69536</v>
      </c>
      <c r="H175" s="39" t="n">
        <f aca="false">F175-G175</f>
        <v>29423424.10464</v>
      </c>
      <c r="I175" s="39" t="n">
        <f aca="false">H175*'Assumptions &amp; Data'!G309</f>
        <v>4954904.61922138</v>
      </c>
      <c r="J175" s="39" t="n">
        <f aca="false">E175*'Assumptions &amp; Data'!H309</f>
        <v>525064.6</v>
      </c>
      <c r="K175" s="39" t="n">
        <f aca="false">H175*'Assumptions &amp; Data'!I309</f>
        <v>1009223.44678915</v>
      </c>
      <c r="L175" s="39" t="n">
        <f aca="false">H175*'Assumptions &amp; Data'!J309</f>
        <v>603180.19414512</v>
      </c>
      <c r="M175" s="39" t="n">
        <f aca="false">I175+J175+K175-L175</f>
        <v>5886012.47186541</v>
      </c>
      <c r="N175" s="39" t="n">
        <f aca="false">E175*'Assumptions &amp; Data'!N309</f>
        <v>1564959.49</v>
      </c>
      <c r="O175" s="39" t="n">
        <f aca="false">E175*'Assumptions &amp; Data'!O309</f>
        <v>460543.95</v>
      </c>
      <c r="P175" s="39" t="n">
        <f aca="false">H175*'Assumptions &amp; Data'!P309</f>
        <v>279522.52899408</v>
      </c>
      <c r="Q175" s="39" t="n">
        <f aca="false">M175-N175-O175-P175</f>
        <v>3580986.50287133</v>
      </c>
      <c r="R175" s="39" t="n">
        <f aca="false">'Assumptions &amp; Data'!L309*'Assumptions &amp; Data'!M309</f>
        <v>930732</v>
      </c>
      <c r="S175" s="37" t="n">
        <f aca="false">'Assumptions &amp; Data'!Q309</f>
        <v>656000</v>
      </c>
      <c r="T175" s="37" t="n">
        <f aca="false">'Assumptions &amp; Data'!R309</f>
        <v>172396</v>
      </c>
      <c r="U175" s="37" t="n">
        <f aca="false">'Assumptions &amp; Data'!S309</f>
        <v>211258</v>
      </c>
      <c r="V175" s="39" t="n">
        <f aca="false">Q175-R175-S175-T175-U175</f>
        <v>1610600.50287133</v>
      </c>
      <c r="W175" s="39" t="n">
        <f aca="false">DAY(EOMONTH(C175,0))</f>
        <v>30</v>
      </c>
      <c r="X175" s="40" t="n">
        <f aca="false">E175/W175</f>
        <v>1483.23333333333</v>
      </c>
      <c r="Y175" s="39" t="n">
        <f aca="false">R175+S175+T175+U175</f>
        <v>1970386</v>
      </c>
    </row>
    <row r="176" customFormat="false" ht="15" hidden="false" customHeight="false" outlineLevel="0" collapsed="false">
      <c r="A176" s="37" t="str">
        <f aca="false">'Assumptions &amp; Data'!A310</f>
        <v>SM0106</v>
      </c>
      <c r="B176" s="37" t="str">
        <f aca="false">'Assumptions &amp; Data'!B310</f>
        <v>DS009</v>
      </c>
      <c r="C176" s="38" t="n">
        <f aca="false">'Assumptions &amp; Data'!C310</f>
        <v>46204</v>
      </c>
      <c r="D176" s="39" t="str">
        <f aca="false">INDEX('Assumptions &amp; Data'!$B$142:$B$201,MATCH(B176,'Assumptions &amp; Data'!$A$142:$A$201,0))</f>
        <v>Delhi NCR</v>
      </c>
      <c r="E176" s="37" t="n">
        <f aca="false">'Assumptions &amp; Data'!D310</f>
        <v>43823</v>
      </c>
      <c r="F176" s="39" t="n">
        <f aca="false">E176*'Assumptions &amp; Data'!E310</f>
        <v>31096800.8</v>
      </c>
      <c r="G176" s="39" t="n">
        <f aca="false">F176*'Assumptions &amp; Data'!F310</f>
        <v>1589046.52088</v>
      </c>
      <c r="H176" s="39" t="n">
        <f aca="false">F176-G176</f>
        <v>29507754.27912</v>
      </c>
      <c r="I176" s="39" t="n">
        <f aca="false">H176*'Assumptions &amp; Data'!G310</f>
        <v>4963204.26974798</v>
      </c>
      <c r="J176" s="39" t="n">
        <f aca="false">E176*'Assumptions &amp; Data'!H310</f>
        <v>517111.4</v>
      </c>
      <c r="K176" s="39" t="n">
        <f aca="false">H176*'Assumptions &amp; Data'!I310</f>
        <v>997362.094634256</v>
      </c>
      <c r="L176" s="39" t="n">
        <f aca="false">H176*'Assumptions &amp; Data'!J310</f>
        <v>587204.310154488</v>
      </c>
      <c r="M176" s="39" t="n">
        <f aca="false">I176+J176+K176-L176</f>
        <v>5890473.45422775</v>
      </c>
      <c r="N176" s="39" t="n">
        <f aca="false">E176*'Assumptions &amp; Data'!N310</f>
        <v>1560975.26</v>
      </c>
      <c r="O176" s="39" t="n">
        <f aca="false">E176*'Assumptions &amp; Data'!O310</f>
        <v>433847.7</v>
      </c>
      <c r="P176" s="39" t="n">
        <f aca="false">H176*'Assumptions &amp; Data'!P310</f>
        <v>306880.644502848</v>
      </c>
      <c r="Q176" s="39" t="n">
        <f aca="false">M176-N176-O176-P176</f>
        <v>3588769.8497249</v>
      </c>
      <c r="R176" s="39" t="n">
        <f aca="false">'Assumptions &amp; Data'!L310*'Assumptions &amp; Data'!M310</f>
        <v>910396</v>
      </c>
      <c r="S176" s="37" t="n">
        <f aca="false">'Assumptions &amp; Data'!Q310</f>
        <v>656000</v>
      </c>
      <c r="T176" s="37" t="n">
        <f aca="false">'Assumptions &amp; Data'!R310</f>
        <v>162402</v>
      </c>
      <c r="U176" s="37" t="n">
        <f aca="false">'Assumptions &amp; Data'!S310</f>
        <v>213379</v>
      </c>
      <c r="V176" s="39" t="n">
        <f aca="false">Q176-R176-S176-T176-U176</f>
        <v>1646592.8497249</v>
      </c>
      <c r="W176" s="39" t="n">
        <f aca="false">DAY(EOMONTH(C176,0))</f>
        <v>31</v>
      </c>
      <c r="X176" s="40" t="n">
        <f aca="false">E176/W176</f>
        <v>1413.64516129032</v>
      </c>
      <c r="Y176" s="39" t="n">
        <f aca="false">R176+S176+T176+U176</f>
        <v>1942177</v>
      </c>
    </row>
    <row r="177" customFormat="false" ht="15" hidden="false" customHeight="false" outlineLevel="0" collapsed="false">
      <c r="A177" s="37" t="str">
        <f aca="false">'Assumptions &amp; Data'!A311</f>
        <v>SM0107</v>
      </c>
      <c r="B177" s="37" t="str">
        <f aca="false">'Assumptions &amp; Data'!B311</f>
        <v>DS009</v>
      </c>
      <c r="C177" s="38" t="n">
        <f aca="false">'Assumptions &amp; Data'!C311</f>
        <v>46235</v>
      </c>
      <c r="D177" s="39" t="str">
        <f aca="false">INDEX('Assumptions &amp; Data'!$B$142:$B$201,MATCH(B177,'Assumptions &amp; Data'!$A$142:$A$201,0))</f>
        <v>Delhi NCR</v>
      </c>
      <c r="E177" s="37" t="n">
        <f aca="false">'Assumptions &amp; Data'!D311</f>
        <v>43188</v>
      </c>
      <c r="F177" s="39" t="n">
        <f aca="false">E177*'Assumptions &amp; Data'!E311</f>
        <v>30309338.4</v>
      </c>
      <c r="G177" s="39" t="n">
        <f aca="false">F177*'Assumptions &amp; Data'!F311</f>
        <v>1545776.2584</v>
      </c>
      <c r="H177" s="39" t="n">
        <f aca="false">F177-G177</f>
        <v>28763562.1416</v>
      </c>
      <c r="I177" s="39" t="n">
        <f aca="false">H177*'Assumptions &amp; Data'!G311</f>
        <v>4751740.46579232</v>
      </c>
      <c r="J177" s="39" t="n">
        <f aca="false">E177*'Assumptions &amp; Data'!H311</f>
        <v>476795.52</v>
      </c>
      <c r="K177" s="39" t="n">
        <f aca="false">H177*'Assumptions &amp; Data'!I311</f>
        <v>926186.70095952</v>
      </c>
      <c r="L177" s="39" t="n">
        <f aca="false">H177*'Assumptions &amp; Data'!J311</f>
        <v>560889.4617612</v>
      </c>
      <c r="M177" s="39" t="n">
        <f aca="false">I177+J177+K177-L177</f>
        <v>5593833.22499064</v>
      </c>
      <c r="N177" s="39" t="n">
        <f aca="false">E177*'Assumptions &amp; Data'!N311</f>
        <v>1537924.68</v>
      </c>
      <c r="O177" s="39" t="n">
        <f aca="false">E177*'Assumptions &amp; Data'!O311</f>
        <v>439221.96</v>
      </c>
      <c r="P177" s="39" t="n">
        <f aca="false">H177*'Assumptions &amp; Data'!P311</f>
        <v>284759.26520184</v>
      </c>
      <c r="Q177" s="39" t="n">
        <f aca="false">M177-N177-O177-P177</f>
        <v>3331927.3197888</v>
      </c>
      <c r="R177" s="39" t="n">
        <f aca="false">'Assumptions &amp; Data'!L311*'Assumptions &amp; Data'!M311</f>
        <v>890022</v>
      </c>
      <c r="S177" s="37" t="n">
        <f aca="false">'Assumptions &amp; Data'!Q311</f>
        <v>656000</v>
      </c>
      <c r="T177" s="37" t="n">
        <f aca="false">'Assumptions &amp; Data'!R311</f>
        <v>176311</v>
      </c>
      <c r="U177" s="37" t="n">
        <f aca="false">'Assumptions &amp; Data'!S311</f>
        <v>228530</v>
      </c>
      <c r="V177" s="39" t="n">
        <f aca="false">Q177-R177-S177-T177-U177</f>
        <v>1381064.3197888</v>
      </c>
      <c r="W177" s="39" t="n">
        <f aca="false">DAY(EOMONTH(C177,0))</f>
        <v>31</v>
      </c>
      <c r="X177" s="40" t="n">
        <f aca="false">E177/W177</f>
        <v>1393.16129032258</v>
      </c>
      <c r="Y177" s="39" t="n">
        <f aca="false">R177+S177+T177+U177</f>
        <v>1950863</v>
      </c>
    </row>
    <row r="178" customFormat="false" ht="15" hidden="false" customHeight="false" outlineLevel="0" collapsed="false">
      <c r="A178" s="37" t="str">
        <f aca="false">'Assumptions &amp; Data'!A312</f>
        <v>SM0108</v>
      </c>
      <c r="B178" s="37" t="str">
        <f aca="false">'Assumptions &amp; Data'!B312</f>
        <v>DS009</v>
      </c>
      <c r="C178" s="38" t="n">
        <f aca="false">'Assumptions &amp; Data'!C312</f>
        <v>46266</v>
      </c>
      <c r="D178" s="39" t="str">
        <f aca="false">INDEX('Assumptions &amp; Data'!$B$142:$B$201,MATCH(B178,'Assumptions &amp; Data'!$A$142:$A$201,0))</f>
        <v>Delhi NCR</v>
      </c>
      <c r="E178" s="37" t="n">
        <f aca="false">'Assumptions &amp; Data'!D312</f>
        <v>44956</v>
      </c>
      <c r="F178" s="39" t="n">
        <f aca="false">E178*'Assumptions &amp; Data'!E312</f>
        <v>31702971.2</v>
      </c>
      <c r="G178" s="39" t="n">
        <f aca="false">F178*'Assumptions &amp; Data'!F312</f>
        <v>1648554.5024</v>
      </c>
      <c r="H178" s="39" t="n">
        <f aca="false">F178-G178</f>
        <v>30054416.6976</v>
      </c>
      <c r="I178" s="39" t="n">
        <f aca="false">H178*'Assumptions &amp; Data'!G312</f>
        <v>5073185.53855488</v>
      </c>
      <c r="J178" s="39" t="n">
        <f aca="false">E178*'Assumptions &amp; Data'!H312</f>
        <v>528682.56</v>
      </c>
      <c r="K178" s="39" t="n">
        <f aca="false">H178*'Assumptions &amp; Data'!I312</f>
        <v>1009828.40103936</v>
      </c>
      <c r="L178" s="39" t="n">
        <f aca="false">H178*'Assumptions &amp; Data'!J312</f>
        <v>607099.21729152</v>
      </c>
      <c r="M178" s="39" t="n">
        <f aca="false">I178+J178+K178-L178</f>
        <v>6004597.28230272</v>
      </c>
      <c r="N178" s="39" t="n">
        <f aca="false">E178*'Assumptions &amp; Data'!N312</f>
        <v>1613920.4</v>
      </c>
      <c r="O178" s="39" t="n">
        <f aca="false">E178*'Assumptions &amp; Data'!O312</f>
        <v>461698.12</v>
      </c>
      <c r="P178" s="39" t="n">
        <f aca="false">H178*'Assumptions &amp; Data'!P312</f>
        <v>306555.05031552</v>
      </c>
      <c r="Q178" s="39" t="n">
        <f aca="false">M178-N178-O178-P178</f>
        <v>3622423.7119872</v>
      </c>
      <c r="R178" s="39" t="n">
        <f aca="false">'Assumptions &amp; Data'!L312*'Assumptions &amp; Data'!M312</f>
        <v>954450</v>
      </c>
      <c r="S178" s="37" t="n">
        <f aca="false">'Assumptions &amp; Data'!Q312</f>
        <v>656000</v>
      </c>
      <c r="T178" s="37" t="n">
        <f aca="false">'Assumptions &amp; Data'!R312</f>
        <v>164318</v>
      </c>
      <c r="U178" s="37" t="n">
        <f aca="false">'Assumptions &amp; Data'!S312</f>
        <v>224949</v>
      </c>
      <c r="V178" s="39" t="n">
        <f aca="false">Q178-R178-S178-T178-U178</f>
        <v>1622706.7119872</v>
      </c>
      <c r="W178" s="39" t="n">
        <f aca="false">DAY(EOMONTH(C178,0))</f>
        <v>30</v>
      </c>
      <c r="X178" s="40" t="n">
        <f aca="false">E178/W178</f>
        <v>1498.53333333333</v>
      </c>
      <c r="Y178" s="39" t="n">
        <f aca="false">R178+S178+T178+U178</f>
        <v>1999717</v>
      </c>
    </row>
    <row r="179" customFormat="false" ht="15" hidden="false" customHeight="false" outlineLevel="0" collapsed="false">
      <c r="A179" s="37" t="str">
        <f aca="false">'Assumptions &amp; Data'!A313</f>
        <v>SM0109</v>
      </c>
      <c r="B179" s="37" t="str">
        <f aca="false">'Assumptions &amp; Data'!B313</f>
        <v>DS010</v>
      </c>
      <c r="C179" s="38" t="n">
        <f aca="false">'Assumptions &amp; Data'!C313</f>
        <v>45931</v>
      </c>
      <c r="D179" s="39" t="str">
        <f aca="false">INDEX('Assumptions &amp; Data'!$B$142:$B$201,MATCH(B179,'Assumptions &amp; Data'!$A$142:$A$201,0))</f>
        <v>Delhi NCR</v>
      </c>
      <c r="E179" s="37" t="n">
        <f aca="false">'Assumptions &amp; Data'!D313</f>
        <v>46896</v>
      </c>
      <c r="F179" s="39" t="n">
        <f aca="false">E179*'Assumptions &amp; Data'!E313</f>
        <v>31242115.2</v>
      </c>
      <c r="G179" s="39" t="n">
        <f aca="false">F179*'Assumptions &amp; Data'!F313</f>
        <v>1765179.5088</v>
      </c>
      <c r="H179" s="39" t="n">
        <f aca="false">F179-G179</f>
        <v>29476935.6912</v>
      </c>
      <c r="I179" s="39" t="n">
        <f aca="false">H179*'Assumptions &amp; Data'!G313</f>
        <v>5046451.39033344</v>
      </c>
      <c r="J179" s="39" t="n">
        <f aca="false">E179*'Assumptions &amp; Data'!H313</f>
        <v>658419.84</v>
      </c>
      <c r="K179" s="39" t="n">
        <f aca="false">H179*'Assumptions &amp; Data'!I313</f>
        <v>960948.10353312</v>
      </c>
      <c r="L179" s="39" t="n">
        <f aca="false">H179*'Assumptions &amp; Data'!J313</f>
        <v>949157.32925664</v>
      </c>
      <c r="M179" s="39" t="n">
        <f aca="false">I179+J179+K179-L179</f>
        <v>5716662.00460992</v>
      </c>
      <c r="N179" s="39" t="n">
        <f aca="false">E179*'Assumptions &amp; Data'!N313</f>
        <v>1811592.48</v>
      </c>
      <c r="O179" s="39" t="n">
        <f aca="false">E179*'Assumptions &amp; Data'!O313</f>
        <v>487249.44</v>
      </c>
      <c r="P179" s="39" t="n">
        <f aca="false">H179*'Assumptions &amp; Data'!P313</f>
        <v>282978.58263552</v>
      </c>
      <c r="Q179" s="39" t="n">
        <f aca="false">M179-N179-O179-P179</f>
        <v>3134841.5019744</v>
      </c>
      <c r="R179" s="39" t="n">
        <f aca="false">'Assumptions &amp; Data'!L313*'Assumptions &amp; Data'!M313</f>
        <v>903000</v>
      </c>
      <c r="S179" s="37" t="n">
        <f aca="false">'Assumptions &amp; Data'!Q313</f>
        <v>549000</v>
      </c>
      <c r="T179" s="37" t="n">
        <f aca="false">'Assumptions &amp; Data'!R313</f>
        <v>181800</v>
      </c>
      <c r="U179" s="37" t="n">
        <f aca="false">'Assumptions &amp; Data'!S313</f>
        <v>370817</v>
      </c>
      <c r="V179" s="39" t="n">
        <f aca="false">Q179-R179-S179-T179-U179</f>
        <v>1130224.5019744</v>
      </c>
      <c r="W179" s="39" t="n">
        <f aca="false">DAY(EOMONTH(C179,0))</f>
        <v>31</v>
      </c>
      <c r="X179" s="40" t="n">
        <f aca="false">E179/W179</f>
        <v>1512.77419354839</v>
      </c>
      <c r="Y179" s="39" t="n">
        <f aca="false">R179+S179+T179+U179</f>
        <v>2004617</v>
      </c>
    </row>
    <row r="180" customFormat="false" ht="15" hidden="false" customHeight="false" outlineLevel="0" collapsed="false">
      <c r="A180" s="37" t="str">
        <f aca="false">'Assumptions &amp; Data'!A314</f>
        <v>SM0110</v>
      </c>
      <c r="B180" s="37" t="str">
        <f aca="false">'Assumptions &amp; Data'!B314</f>
        <v>DS010</v>
      </c>
      <c r="C180" s="38" t="n">
        <f aca="false">'Assumptions &amp; Data'!C314</f>
        <v>45962</v>
      </c>
      <c r="D180" s="39" t="str">
        <f aca="false">INDEX('Assumptions &amp; Data'!$B$142:$B$201,MATCH(B180,'Assumptions &amp; Data'!$A$142:$A$201,0))</f>
        <v>Delhi NCR</v>
      </c>
      <c r="E180" s="37" t="n">
        <f aca="false">'Assumptions &amp; Data'!D314</f>
        <v>50470</v>
      </c>
      <c r="F180" s="39" t="n">
        <f aca="false">E180*'Assumptions &amp; Data'!E314</f>
        <v>33966310</v>
      </c>
      <c r="G180" s="39" t="n">
        <f aca="false">F180*'Assumptions &amp; Data'!F314</f>
        <v>1844370.633</v>
      </c>
      <c r="H180" s="39" t="n">
        <f aca="false">F180-G180</f>
        <v>32121939.367</v>
      </c>
      <c r="I180" s="39" t="n">
        <f aca="false">H180*'Assumptions &amp; Data'!G314</f>
        <v>5312968.7713018</v>
      </c>
      <c r="J180" s="39" t="n">
        <f aca="false">E180*'Assumptions &amp; Data'!H314</f>
        <v>643997.2</v>
      </c>
      <c r="K180" s="39" t="n">
        <f aca="false">H180*'Assumptions &amp; Data'!I314</f>
        <v>1021477.6718706</v>
      </c>
      <c r="L180" s="39" t="n">
        <f aca="false">H180*'Assumptions &amp; Data'!J314</f>
        <v>1002204.5082504</v>
      </c>
      <c r="M180" s="39" t="n">
        <f aca="false">I180+J180+K180-L180</f>
        <v>5976239.134922</v>
      </c>
      <c r="N180" s="39" t="n">
        <f aca="false">E180*'Assumptions &amp; Data'!N314</f>
        <v>1973881.7</v>
      </c>
      <c r="O180" s="39" t="n">
        <f aca="false">E180*'Assumptions &amp; Data'!O314</f>
        <v>533467.9</v>
      </c>
      <c r="P180" s="39" t="n">
        <f aca="false">H180*'Assumptions &amp; Data'!P314</f>
        <v>321219.39367</v>
      </c>
      <c r="Q180" s="39" t="n">
        <f aca="false">M180-N180-O180-P180</f>
        <v>3147670.141252</v>
      </c>
      <c r="R180" s="39" t="n">
        <f aca="false">'Assumptions &amp; Data'!L314*'Assumptions &amp; Data'!M314</f>
        <v>987893</v>
      </c>
      <c r="S180" s="37" t="n">
        <f aca="false">'Assumptions &amp; Data'!Q314</f>
        <v>549000</v>
      </c>
      <c r="T180" s="37" t="n">
        <f aca="false">'Assumptions &amp; Data'!R314</f>
        <v>184662</v>
      </c>
      <c r="U180" s="37" t="n">
        <f aca="false">'Assumptions &amp; Data'!S314</f>
        <v>381846</v>
      </c>
      <c r="V180" s="39" t="n">
        <f aca="false">Q180-R180-S180-T180-U180</f>
        <v>1044269.141252</v>
      </c>
      <c r="W180" s="39" t="n">
        <f aca="false">DAY(EOMONTH(C180,0))</f>
        <v>30</v>
      </c>
      <c r="X180" s="40" t="n">
        <f aca="false">E180/W180</f>
        <v>1682.33333333333</v>
      </c>
      <c r="Y180" s="39" t="n">
        <f aca="false">R180+S180+T180+U180</f>
        <v>2103401</v>
      </c>
    </row>
    <row r="181" customFormat="false" ht="15" hidden="false" customHeight="false" outlineLevel="0" collapsed="false">
      <c r="A181" s="37" t="str">
        <f aca="false">'Assumptions &amp; Data'!A315</f>
        <v>SM0111</v>
      </c>
      <c r="B181" s="37" t="str">
        <f aca="false">'Assumptions &amp; Data'!B315</f>
        <v>DS010</v>
      </c>
      <c r="C181" s="38" t="n">
        <f aca="false">'Assumptions &amp; Data'!C315</f>
        <v>45992</v>
      </c>
      <c r="D181" s="39" t="str">
        <f aca="false">INDEX('Assumptions &amp; Data'!$B$142:$B$201,MATCH(B181,'Assumptions &amp; Data'!$A$142:$A$201,0))</f>
        <v>Delhi NCR</v>
      </c>
      <c r="E181" s="37" t="n">
        <f aca="false">'Assumptions &amp; Data'!D315</f>
        <v>50844</v>
      </c>
      <c r="F181" s="39" t="n">
        <f aca="false">E181*'Assumptions &amp; Data'!E315</f>
        <v>32987587.2</v>
      </c>
      <c r="G181" s="39" t="n">
        <f aca="false">F181*'Assumptions &amp; Data'!F315</f>
        <v>1857201.15936</v>
      </c>
      <c r="H181" s="39" t="n">
        <f aca="false">F181-G181</f>
        <v>31130386.04064</v>
      </c>
      <c r="I181" s="39" t="n">
        <f aca="false">H181*'Assumptions &amp; Data'!G315</f>
        <v>5083592.04043651</v>
      </c>
      <c r="J181" s="39" t="n">
        <f aca="false">E181*'Assumptions &amp; Data'!H315</f>
        <v>713341.32</v>
      </c>
      <c r="K181" s="39" t="n">
        <f aca="false">H181*'Assumptions &amp; Data'!I315</f>
        <v>1033528.81654925</v>
      </c>
      <c r="L181" s="39" t="n">
        <f aca="false">H181*'Assumptions &amp; Data'!J315</f>
        <v>968155.005863904</v>
      </c>
      <c r="M181" s="39" t="n">
        <f aca="false">I181+J181+K181-L181</f>
        <v>5862307.17112186</v>
      </c>
      <c r="N181" s="39" t="n">
        <f aca="false">E181*'Assumptions &amp; Data'!N315</f>
        <v>1941223.92</v>
      </c>
      <c r="O181" s="39" t="n">
        <f aca="false">E181*'Assumptions &amp; Data'!O315</f>
        <v>529286.04</v>
      </c>
      <c r="P181" s="39" t="n">
        <f aca="false">H181*'Assumptions &amp; Data'!P315</f>
        <v>301964.744594208</v>
      </c>
      <c r="Q181" s="39" t="n">
        <f aca="false">M181-N181-O181-P181</f>
        <v>3089832.46652765</v>
      </c>
      <c r="R181" s="39" t="n">
        <f aca="false">'Assumptions &amp; Data'!L315*'Assumptions &amp; Data'!M315</f>
        <v>988786</v>
      </c>
      <c r="S181" s="37" t="n">
        <f aca="false">'Assumptions &amp; Data'!Q315</f>
        <v>549000</v>
      </c>
      <c r="T181" s="37" t="n">
        <f aca="false">'Assumptions &amp; Data'!R315</f>
        <v>173276</v>
      </c>
      <c r="U181" s="37" t="n">
        <f aca="false">'Assumptions &amp; Data'!S315</f>
        <v>390282</v>
      </c>
      <c r="V181" s="39" t="n">
        <f aca="false">Q181-R181-S181-T181-U181</f>
        <v>988488.466527648</v>
      </c>
      <c r="W181" s="39" t="n">
        <f aca="false">DAY(EOMONTH(C181,0))</f>
        <v>31</v>
      </c>
      <c r="X181" s="40" t="n">
        <f aca="false">E181/W181</f>
        <v>1640.12903225806</v>
      </c>
      <c r="Y181" s="39" t="n">
        <f aca="false">R181+S181+T181+U181</f>
        <v>2101344</v>
      </c>
    </row>
    <row r="182" customFormat="false" ht="15" hidden="false" customHeight="false" outlineLevel="0" collapsed="false">
      <c r="A182" s="37" t="str">
        <f aca="false">'Assumptions &amp; Data'!A316</f>
        <v>SM0112</v>
      </c>
      <c r="B182" s="37" t="str">
        <f aca="false">'Assumptions &amp; Data'!B316</f>
        <v>DS010</v>
      </c>
      <c r="C182" s="38" t="n">
        <f aca="false">'Assumptions &amp; Data'!C316</f>
        <v>46023</v>
      </c>
      <c r="D182" s="39" t="str">
        <f aca="false">INDEX('Assumptions &amp; Data'!$B$142:$B$201,MATCH(B182,'Assumptions &amp; Data'!$A$142:$A$201,0))</f>
        <v>Delhi NCR</v>
      </c>
      <c r="E182" s="37" t="n">
        <f aca="false">'Assumptions &amp; Data'!D316</f>
        <v>54292</v>
      </c>
      <c r="F182" s="39" t="n">
        <f aca="false">E182*'Assumptions &amp; Data'!E316</f>
        <v>34763167.6</v>
      </c>
      <c r="G182" s="39" t="n">
        <f aca="false">F182*'Assumptions &amp; Data'!F316</f>
        <v>1998882.137</v>
      </c>
      <c r="H182" s="39" t="n">
        <f aca="false">F182-G182</f>
        <v>32764285.463</v>
      </c>
      <c r="I182" s="39" t="n">
        <f aca="false">H182*'Assumptions &amp; Data'!G316</f>
        <v>5393001.3872098</v>
      </c>
      <c r="J182" s="39" t="n">
        <f aca="false">E182*'Assumptions &amp; Data'!H316</f>
        <v>744343.32</v>
      </c>
      <c r="K182" s="39" t="n">
        <f aca="false">H182*'Assumptions &amp; Data'!I316</f>
        <v>1051733.5633623</v>
      </c>
      <c r="L182" s="39" t="n">
        <f aca="false">H182*'Assumptions &amp; Data'!J316</f>
        <v>1045180.7062697</v>
      </c>
      <c r="M182" s="39" t="n">
        <f aca="false">I182+J182+K182-L182</f>
        <v>6143897.5643024</v>
      </c>
      <c r="N182" s="39" t="n">
        <f aca="false">E182*'Assumptions &amp; Data'!N316</f>
        <v>2073411.48</v>
      </c>
      <c r="O182" s="39" t="n">
        <f aca="false">E182*'Assumptions &amp; Data'!O316</f>
        <v>570608.92</v>
      </c>
      <c r="P182" s="39" t="n">
        <f aca="false">H182*'Assumptions &amp; Data'!P316</f>
        <v>321089.9975374</v>
      </c>
      <c r="Q182" s="39" t="n">
        <f aca="false">M182-N182-O182-P182</f>
        <v>3178787.166765</v>
      </c>
      <c r="R182" s="39" t="n">
        <f aca="false">'Assumptions &amp; Data'!L316*'Assumptions &amp; Data'!M316</f>
        <v>1073907</v>
      </c>
      <c r="S182" s="37" t="n">
        <f aca="false">'Assumptions &amp; Data'!Q316</f>
        <v>549000</v>
      </c>
      <c r="T182" s="37" t="n">
        <f aca="false">'Assumptions &amp; Data'!R316</f>
        <v>180144</v>
      </c>
      <c r="U182" s="37" t="n">
        <f aca="false">'Assumptions &amp; Data'!S316</f>
        <v>354400</v>
      </c>
      <c r="V182" s="39" t="n">
        <f aca="false">Q182-R182-S182-T182-U182</f>
        <v>1021336.166765</v>
      </c>
      <c r="W182" s="39" t="n">
        <f aca="false">DAY(EOMONTH(C182,0))</f>
        <v>31</v>
      </c>
      <c r="X182" s="40" t="n">
        <f aca="false">E182/W182</f>
        <v>1751.35483870968</v>
      </c>
      <c r="Y182" s="39" t="n">
        <f aca="false">R182+S182+T182+U182</f>
        <v>2157451</v>
      </c>
    </row>
    <row r="183" customFormat="false" ht="15" hidden="false" customHeight="false" outlineLevel="0" collapsed="false">
      <c r="A183" s="37" t="str">
        <f aca="false">'Assumptions &amp; Data'!A317</f>
        <v>SM0113</v>
      </c>
      <c r="B183" s="37" t="str">
        <f aca="false">'Assumptions &amp; Data'!B317</f>
        <v>DS010</v>
      </c>
      <c r="C183" s="38" t="n">
        <f aca="false">'Assumptions &amp; Data'!C317</f>
        <v>46054</v>
      </c>
      <c r="D183" s="39" t="str">
        <f aca="false">INDEX('Assumptions &amp; Data'!$B$142:$B$201,MATCH(B183,'Assumptions &amp; Data'!$A$142:$A$201,0))</f>
        <v>Delhi NCR</v>
      </c>
      <c r="E183" s="37" t="n">
        <f aca="false">'Assumptions &amp; Data'!D317</f>
        <v>45675</v>
      </c>
      <c r="F183" s="39" t="n">
        <f aca="false">E183*'Assumptions &amp; Data'!E317</f>
        <v>30049582.5</v>
      </c>
      <c r="G183" s="39" t="n">
        <f aca="false">F183*'Assumptions &amp; Data'!F317</f>
        <v>1637702.24625</v>
      </c>
      <c r="H183" s="39" t="n">
        <f aca="false">F183-G183</f>
        <v>28411880.25375</v>
      </c>
      <c r="I183" s="39" t="n">
        <f aca="false">H183*'Assumptions &amp; Data'!G317</f>
        <v>4699324.99397025</v>
      </c>
      <c r="J183" s="39" t="n">
        <f aca="false">E183*'Assumptions &amp; Data'!H317</f>
        <v>629858.25</v>
      </c>
      <c r="K183" s="39" t="n">
        <f aca="false">H183*'Assumptions &amp; Data'!I317</f>
        <v>900656.604043875</v>
      </c>
      <c r="L183" s="39" t="n">
        <f aca="false">H183*'Assumptions &amp; Data'!J317</f>
        <v>858038.78366325</v>
      </c>
      <c r="M183" s="39" t="n">
        <f aca="false">I183+J183+K183-L183</f>
        <v>5371801.06435088</v>
      </c>
      <c r="N183" s="39" t="n">
        <f aca="false">E183*'Assumptions &amp; Data'!N317</f>
        <v>1731996</v>
      </c>
      <c r="O183" s="39" t="n">
        <f aca="false">E183*'Assumptions &amp; Data'!O317</f>
        <v>481871.25</v>
      </c>
      <c r="P183" s="39" t="n">
        <f aca="false">H183*'Assumptions &amp; Data'!P317</f>
        <v>278436.42648675</v>
      </c>
      <c r="Q183" s="39" t="n">
        <f aca="false">M183-N183-O183-P183</f>
        <v>2879497.38786413</v>
      </c>
      <c r="R183" s="39" t="n">
        <f aca="false">'Assumptions &amp; Data'!L317*'Assumptions &amp; Data'!M317</f>
        <v>990572</v>
      </c>
      <c r="S183" s="37" t="n">
        <f aca="false">'Assumptions &amp; Data'!Q317</f>
        <v>549000</v>
      </c>
      <c r="T183" s="37" t="n">
        <f aca="false">'Assumptions &amp; Data'!R317</f>
        <v>163515</v>
      </c>
      <c r="U183" s="37" t="n">
        <f aca="false">'Assumptions &amp; Data'!S317</f>
        <v>307453</v>
      </c>
      <c r="V183" s="39" t="n">
        <f aca="false">Q183-R183-S183-T183-U183</f>
        <v>868957.387864125</v>
      </c>
      <c r="W183" s="39" t="n">
        <f aca="false">DAY(EOMONTH(C183,0))</f>
        <v>28</v>
      </c>
      <c r="X183" s="40" t="n">
        <f aca="false">E183/W183</f>
        <v>1631.25</v>
      </c>
      <c r="Y183" s="39" t="n">
        <f aca="false">R183+S183+T183+U183</f>
        <v>2010540</v>
      </c>
    </row>
    <row r="184" customFormat="false" ht="15" hidden="false" customHeight="false" outlineLevel="0" collapsed="false">
      <c r="A184" s="37" t="str">
        <f aca="false">'Assumptions &amp; Data'!A318</f>
        <v>SM0114</v>
      </c>
      <c r="B184" s="37" t="str">
        <f aca="false">'Assumptions &amp; Data'!B318</f>
        <v>DS010</v>
      </c>
      <c r="C184" s="38" t="n">
        <f aca="false">'Assumptions &amp; Data'!C318</f>
        <v>46082</v>
      </c>
      <c r="D184" s="39" t="str">
        <f aca="false">INDEX('Assumptions &amp; Data'!$B$142:$B$201,MATCH(B184,'Assumptions &amp; Data'!$A$142:$A$201,0))</f>
        <v>Delhi NCR</v>
      </c>
      <c r="E184" s="37" t="n">
        <f aca="false">'Assumptions &amp; Data'!D318</f>
        <v>49585</v>
      </c>
      <c r="F184" s="39" t="n">
        <f aca="false">E184*'Assumptions &amp; Data'!E318</f>
        <v>33177323.5</v>
      </c>
      <c r="G184" s="39" t="n">
        <f aca="false">F184*'Assumptions &amp; Data'!F318</f>
        <v>1904378.3689</v>
      </c>
      <c r="H184" s="39" t="n">
        <f aca="false">F184-G184</f>
        <v>31272945.1311</v>
      </c>
      <c r="I184" s="39" t="n">
        <f aca="false">H184*'Assumptions &amp; Data'!G318</f>
        <v>5172545.12468394</v>
      </c>
      <c r="J184" s="39" t="n">
        <f aca="false">E184*'Assumptions &amp; Data'!H318</f>
        <v>620308.35</v>
      </c>
      <c r="K184" s="39" t="n">
        <f aca="false">H184*'Assumptions &amp; Data'!I318</f>
        <v>1016370.71676075</v>
      </c>
      <c r="L184" s="39" t="n">
        <f aca="false">H184*'Assumptions &amp; Data'!J318</f>
        <v>950697.53198544</v>
      </c>
      <c r="M184" s="39" t="n">
        <f aca="false">I184+J184+K184-L184</f>
        <v>5858526.65945925</v>
      </c>
      <c r="N184" s="39" t="n">
        <f aca="false">E184*'Assumptions &amp; Data'!N318</f>
        <v>1899601.35</v>
      </c>
      <c r="O184" s="39" t="n">
        <f aca="false">E184*'Assumptions &amp; Data'!O318</f>
        <v>518659.1</v>
      </c>
      <c r="P184" s="39" t="n">
        <f aca="false">H184*'Assumptions &amp; Data'!P318</f>
        <v>315856.74582411</v>
      </c>
      <c r="Q184" s="39" t="n">
        <f aca="false">M184-N184-O184-P184</f>
        <v>3124409.46363514</v>
      </c>
      <c r="R184" s="39" t="n">
        <f aca="false">'Assumptions &amp; Data'!L318*'Assumptions &amp; Data'!M318</f>
        <v>970370</v>
      </c>
      <c r="S184" s="37" t="n">
        <f aca="false">'Assumptions &amp; Data'!Q318</f>
        <v>549000</v>
      </c>
      <c r="T184" s="37" t="n">
        <f aca="false">'Assumptions &amp; Data'!R318</f>
        <v>178890</v>
      </c>
      <c r="U184" s="37" t="n">
        <f aca="false">'Assumptions &amp; Data'!S318</f>
        <v>328129</v>
      </c>
      <c r="V184" s="39" t="n">
        <f aca="false">Q184-R184-S184-T184-U184</f>
        <v>1098020.46363514</v>
      </c>
      <c r="W184" s="39" t="n">
        <f aca="false">DAY(EOMONTH(C184,0))</f>
        <v>31</v>
      </c>
      <c r="X184" s="40" t="n">
        <f aca="false">E184/W184</f>
        <v>1599.51612903226</v>
      </c>
      <c r="Y184" s="39" t="n">
        <f aca="false">R184+S184+T184+U184</f>
        <v>2026389</v>
      </c>
    </row>
    <row r="185" customFormat="false" ht="15" hidden="false" customHeight="false" outlineLevel="0" collapsed="false">
      <c r="A185" s="37" t="str">
        <f aca="false">'Assumptions &amp; Data'!A319</f>
        <v>SM0115</v>
      </c>
      <c r="B185" s="37" t="str">
        <f aca="false">'Assumptions &amp; Data'!B319</f>
        <v>DS010</v>
      </c>
      <c r="C185" s="38" t="n">
        <f aca="false">'Assumptions &amp; Data'!C319</f>
        <v>46113</v>
      </c>
      <c r="D185" s="39" t="str">
        <f aca="false">INDEX('Assumptions &amp; Data'!$B$142:$B$201,MATCH(B185,'Assumptions &amp; Data'!$A$142:$A$201,0))</f>
        <v>Delhi NCR</v>
      </c>
      <c r="E185" s="37" t="n">
        <f aca="false">'Assumptions &amp; Data'!D319</f>
        <v>50844</v>
      </c>
      <c r="F185" s="39" t="n">
        <f aca="false">E185*'Assumptions &amp; Data'!E319</f>
        <v>33694318.8</v>
      </c>
      <c r="G185" s="39" t="n">
        <f aca="false">F185*'Assumptions &amp; Data'!F319</f>
        <v>1853187.534</v>
      </c>
      <c r="H185" s="39" t="n">
        <f aca="false">F185-G185</f>
        <v>31841131.266</v>
      </c>
      <c r="I185" s="39" t="n">
        <f aca="false">H185*'Assumptions &amp; Data'!G319</f>
        <v>5342941.8264348</v>
      </c>
      <c r="J185" s="39" t="n">
        <f aca="false">E185*'Assumptions &amp; Data'!H319</f>
        <v>697579.68</v>
      </c>
      <c r="K185" s="39" t="n">
        <f aca="false">H185*'Assumptions &amp; Data'!I319</f>
        <v>1025284.4267652</v>
      </c>
      <c r="L185" s="39" t="n">
        <f aca="false">H185*'Assumptions &amp; Data'!J319</f>
        <v>1041204.9923982</v>
      </c>
      <c r="M185" s="39" t="n">
        <f aca="false">I185+J185+K185-L185</f>
        <v>6024600.9408018</v>
      </c>
      <c r="N185" s="39" t="n">
        <f aca="false">E185*'Assumptions &amp; Data'!N319</f>
        <v>1990034.16</v>
      </c>
      <c r="O185" s="39" t="n">
        <f aca="false">E185*'Assumptions &amp; Data'!O319</f>
        <v>553182.72</v>
      </c>
      <c r="P185" s="39" t="n">
        <f aca="false">H185*'Assumptions &amp; Data'!P319</f>
        <v>318411.31266</v>
      </c>
      <c r="Q185" s="39" t="n">
        <f aca="false">M185-N185-O185-P185</f>
        <v>3162972.7481418</v>
      </c>
      <c r="R185" s="39" t="n">
        <f aca="false">'Assumptions &amp; Data'!L319*'Assumptions &amp; Data'!M319</f>
        <v>1013520</v>
      </c>
      <c r="S185" s="37" t="n">
        <f aca="false">'Assumptions &amp; Data'!Q319</f>
        <v>549000</v>
      </c>
      <c r="T185" s="37" t="n">
        <f aca="false">'Assumptions &amp; Data'!R319</f>
        <v>174520</v>
      </c>
      <c r="U185" s="37" t="n">
        <f aca="false">'Assumptions &amp; Data'!S319</f>
        <v>279959</v>
      </c>
      <c r="V185" s="39" t="n">
        <f aca="false">Q185-R185-S185-T185-U185</f>
        <v>1145973.7481418</v>
      </c>
      <c r="W185" s="39" t="n">
        <f aca="false">DAY(EOMONTH(C185,0))</f>
        <v>30</v>
      </c>
      <c r="X185" s="40" t="n">
        <f aca="false">E185/W185</f>
        <v>1694.8</v>
      </c>
      <c r="Y185" s="39" t="n">
        <f aca="false">R185+S185+T185+U185</f>
        <v>2016999</v>
      </c>
    </row>
    <row r="186" customFormat="false" ht="15" hidden="false" customHeight="false" outlineLevel="0" collapsed="false">
      <c r="A186" s="37" t="str">
        <f aca="false">'Assumptions &amp; Data'!A320</f>
        <v>SM0116</v>
      </c>
      <c r="B186" s="37" t="str">
        <f aca="false">'Assumptions &amp; Data'!B320</f>
        <v>DS010</v>
      </c>
      <c r="C186" s="38" t="n">
        <f aca="false">'Assumptions &amp; Data'!C320</f>
        <v>46143</v>
      </c>
      <c r="D186" s="39" t="str">
        <f aca="false">INDEX('Assumptions &amp; Data'!$B$142:$B$201,MATCH(B186,'Assumptions &amp; Data'!$A$142:$A$201,0))</f>
        <v>Delhi NCR</v>
      </c>
      <c r="E186" s="37" t="n">
        <f aca="false">'Assumptions &amp; Data'!D320</f>
        <v>56292</v>
      </c>
      <c r="F186" s="39" t="n">
        <f aca="false">E186*'Assumptions &amp; Data'!E320</f>
        <v>38070279.6</v>
      </c>
      <c r="G186" s="39" t="n">
        <f aca="false">F186*'Assumptions &amp; Data'!F320</f>
        <v>1983461.56716</v>
      </c>
      <c r="H186" s="39" t="n">
        <f aca="false">F186-G186</f>
        <v>36086818.03284</v>
      </c>
      <c r="I186" s="39" t="n">
        <f aca="false">H186*'Assumptions &amp; Data'!G320</f>
        <v>5903803.43017262</v>
      </c>
      <c r="J186" s="39" t="n">
        <f aca="false">E186*'Assumptions &amp; Data'!H320</f>
        <v>743617.32</v>
      </c>
      <c r="K186" s="39" t="n">
        <f aca="false">H186*'Assumptions &amp; Data'!I320</f>
        <v>1147560.81344431</v>
      </c>
      <c r="L186" s="39" t="n">
        <f aca="false">H186*'Assumptions &amp; Data'!J320</f>
        <v>1125908.72262461</v>
      </c>
      <c r="M186" s="39" t="n">
        <f aca="false">I186+J186+K186-L186</f>
        <v>6669072.84099233</v>
      </c>
      <c r="N186" s="39" t="n">
        <f aca="false">E186*'Assumptions &amp; Data'!N320</f>
        <v>2177937.48</v>
      </c>
      <c r="O186" s="39" t="n">
        <f aca="false">E186*'Assumptions &amp; Data'!O320</f>
        <v>584310.96</v>
      </c>
      <c r="P186" s="39" t="n">
        <f aca="false">H186*'Assumptions &amp; Data'!P320</f>
        <v>378911.58934482</v>
      </c>
      <c r="Q186" s="39" t="n">
        <f aca="false">M186-N186-O186-P186</f>
        <v>3527912.81164751</v>
      </c>
      <c r="R186" s="39" t="n">
        <f aca="false">'Assumptions &amp; Data'!L320*'Assumptions &amp; Data'!M320</f>
        <v>1077834</v>
      </c>
      <c r="S186" s="37" t="n">
        <f aca="false">'Assumptions &amp; Data'!Q320</f>
        <v>549000</v>
      </c>
      <c r="T186" s="37" t="n">
        <f aca="false">'Assumptions &amp; Data'!R320</f>
        <v>172944</v>
      </c>
      <c r="U186" s="37" t="n">
        <f aca="false">'Assumptions &amp; Data'!S320</f>
        <v>350460</v>
      </c>
      <c r="V186" s="39" t="n">
        <f aca="false">Q186-R186-S186-T186-U186</f>
        <v>1377674.81164751</v>
      </c>
      <c r="W186" s="39" t="n">
        <f aca="false">DAY(EOMONTH(C186,0))</f>
        <v>31</v>
      </c>
      <c r="X186" s="40" t="n">
        <f aca="false">E186/W186</f>
        <v>1815.87096774194</v>
      </c>
      <c r="Y186" s="39" t="n">
        <f aca="false">R186+S186+T186+U186</f>
        <v>2150238</v>
      </c>
    </row>
    <row r="187" customFormat="false" ht="15" hidden="false" customHeight="false" outlineLevel="0" collapsed="false">
      <c r="A187" s="37" t="str">
        <f aca="false">'Assumptions &amp; Data'!A321</f>
        <v>SM0117</v>
      </c>
      <c r="B187" s="37" t="str">
        <f aca="false">'Assumptions &amp; Data'!B321</f>
        <v>DS010</v>
      </c>
      <c r="C187" s="38" t="n">
        <f aca="false">'Assumptions &amp; Data'!C321</f>
        <v>46174</v>
      </c>
      <c r="D187" s="39" t="str">
        <f aca="false">INDEX('Assumptions &amp; Data'!$B$142:$B$201,MATCH(B187,'Assumptions &amp; Data'!$A$142:$A$201,0))</f>
        <v>Delhi NCR</v>
      </c>
      <c r="E187" s="37" t="n">
        <f aca="false">'Assumptions &amp; Data'!D321</f>
        <v>56629</v>
      </c>
      <c r="F187" s="39" t="n">
        <f aca="false">E187*'Assumptions &amp; Data'!E321</f>
        <v>37528038.3</v>
      </c>
      <c r="G187" s="39" t="n">
        <f aca="false">F187*'Assumptions &amp; Data'!F321</f>
        <v>1872649.11117</v>
      </c>
      <c r="H187" s="39" t="n">
        <f aca="false">F187-G187</f>
        <v>35655389.18883</v>
      </c>
      <c r="I187" s="39" t="n">
        <f aca="false">H187*'Assumptions &amp; Data'!G321</f>
        <v>5900966.91075137</v>
      </c>
      <c r="J187" s="39" t="n">
        <f aca="false">E187*'Assumptions &amp; Data'!H321</f>
        <v>795637.45</v>
      </c>
      <c r="K187" s="39" t="n">
        <f aca="false">H187*'Assumptions &amp; Data'!I321</f>
        <v>1205152.15458245</v>
      </c>
      <c r="L187" s="39" t="n">
        <f aca="false">H187*'Assumptions &amp; Data'!J321</f>
        <v>1119579.22052926</v>
      </c>
      <c r="M187" s="39" t="n">
        <f aca="false">I187+J187+K187-L187</f>
        <v>6782177.29480456</v>
      </c>
      <c r="N187" s="39" t="n">
        <f aca="false">E187*'Assumptions &amp; Data'!N321</f>
        <v>2151335.71</v>
      </c>
      <c r="O187" s="39" t="n">
        <f aca="false">E187*'Assumptions &amp; Data'!O321</f>
        <v>590640.47</v>
      </c>
      <c r="P187" s="39" t="n">
        <f aca="false">H187*'Assumptions &amp; Data'!P321</f>
        <v>367250.508644949</v>
      </c>
      <c r="Q187" s="39" t="n">
        <f aca="false">M187-N187-O187-P187</f>
        <v>3672950.60615961</v>
      </c>
      <c r="R187" s="39" t="n">
        <f aca="false">'Assumptions &amp; Data'!L321*'Assumptions &amp; Data'!M321</f>
        <v>1142262</v>
      </c>
      <c r="S187" s="37" t="n">
        <f aca="false">'Assumptions &amp; Data'!Q321</f>
        <v>549000</v>
      </c>
      <c r="T187" s="37" t="n">
        <f aca="false">'Assumptions &amp; Data'!R321</f>
        <v>181228</v>
      </c>
      <c r="U187" s="37" t="n">
        <f aca="false">'Assumptions &amp; Data'!S321</f>
        <v>367801</v>
      </c>
      <c r="V187" s="39" t="n">
        <f aca="false">Q187-R187-S187-T187-U187</f>
        <v>1432659.60615961</v>
      </c>
      <c r="W187" s="39" t="n">
        <f aca="false">DAY(EOMONTH(C187,0))</f>
        <v>30</v>
      </c>
      <c r="X187" s="40" t="n">
        <f aca="false">E187/W187</f>
        <v>1887.63333333333</v>
      </c>
      <c r="Y187" s="39" t="n">
        <f aca="false">R187+S187+T187+U187</f>
        <v>2240291</v>
      </c>
    </row>
    <row r="188" customFormat="false" ht="15" hidden="false" customHeight="false" outlineLevel="0" collapsed="false">
      <c r="A188" s="37" t="str">
        <f aca="false">'Assumptions &amp; Data'!A322</f>
        <v>SM0118</v>
      </c>
      <c r="B188" s="37" t="str">
        <f aca="false">'Assumptions &amp; Data'!B322</f>
        <v>DS010</v>
      </c>
      <c r="C188" s="38" t="n">
        <f aca="false">'Assumptions &amp; Data'!C322</f>
        <v>46204</v>
      </c>
      <c r="D188" s="39" t="str">
        <f aca="false">INDEX('Assumptions &amp; Data'!$B$142:$B$201,MATCH(B188,'Assumptions &amp; Data'!$A$142:$A$201,0))</f>
        <v>Delhi NCR</v>
      </c>
      <c r="E188" s="37" t="n">
        <f aca="false">'Assumptions &amp; Data'!D322</f>
        <v>54679</v>
      </c>
      <c r="F188" s="39" t="n">
        <f aca="false">E188*'Assumptions &amp; Data'!E322</f>
        <v>36673205.3</v>
      </c>
      <c r="G188" s="39" t="n">
        <f aca="false">F188*'Assumptions &amp; Data'!F322</f>
        <v>1870333.4703</v>
      </c>
      <c r="H188" s="39" t="n">
        <f aca="false">F188-G188</f>
        <v>34802871.8297</v>
      </c>
      <c r="I188" s="39" t="n">
        <f aca="false">H188*'Assumptions &amp; Data'!G322</f>
        <v>5829481.03147475</v>
      </c>
      <c r="J188" s="39" t="n">
        <f aca="false">E188*'Assumptions &amp; Data'!H322</f>
        <v>716841.69</v>
      </c>
      <c r="K188" s="39" t="n">
        <f aca="false">H188*'Assumptions &amp; Data'!I322</f>
        <v>1200699.07812465</v>
      </c>
      <c r="L188" s="39" t="n">
        <f aca="false">H188*'Assumptions &amp; Data'!J322</f>
        <v>1058007.30362288</v>
      </c>
      <c r="M188" s="39" t="n">
        <f aca="false">I188+J188+K188-L188</f>
        <v>6689014.49597652</v>
      </c>
      <c r="N188" s="39" t="n">
        <f aca="false">E188*'Assumptions &amp; Data'!N322</f>
        <v>2079989.16</v>
      </c>
      <c r="O188" s="39" t="n">
        <f aca="false">E188*'Assumptions &amp; Data'!O322</f>
        <v>541322.1</v>
      </c>
      <c r="P188" s="39" t="n">
        <f aca="false">H188*'Assumptions &amp; Data'!P322</f>
        <v>351509.00547997</v>
      </c>
      <c r="Q188" s="39" t="n">
        <f aca="false">M188-N188-O188-P188</f>
        <v>3716194.23049655</v>
      </c>
      <c r="R188" s="39" t="n">
        <f aca="false">'Assumptions &amp; Data'!L322*'Assumptions &amp; Data'!M322</f>
        <v>1058600</v>
      </c>
      <c r="S188" s="37" t="n">
        <f aca="false">'Assumptions &amp; Data'!Q322</f>
        <v>549000</v>
      </c>
      <c r="T188" s="37" t="n">
        <f aca="false">'Assumptions &amp; Data'!R322</f>
        <v>182358</v>
      </c>
      <c r="U188" s="37" t="n">
        <f aca="false">'Assumptions &amp; Data'!S322</f>
        <v>298602</v>
      </c>
      <c r="V188" s="39" t="n">
        <f aca="false">Q188-R188-S188-T188-U188</f>
        <v>1627634.23049655</v>
      </c>
      <c r="W188" s="39" t="n">
        <f aca="false">DAY(EOMONTH(C188,0))</f>
        <v>31</v>
      </c>
      <c r="X188" s="40" t="n">
        <f aca="false">E188/W188</f>
        <v>1763.83870967742</v>
      </c>
      <c r="Y188" s="39" t="n">
        <f aca="false">R188+S188+T188+U188</f>
        <v>2088560</v>
      </c>
    </row>
    <row r="189" customFormat="false" ht="15" hidden="false" customHeight="false" outlineLevel="0" collapsed="false">
      <c r="A189" s="37" t="str">
        <f aca="false">'Assumptions &amp; Data'!A323</f>
        <v>SM0119</v>
      </c>
      <c r="B189" s="37" t="str">
        <f aca="false">'Assumptions &amp; Data'!B323</f>
        <v>DS010</v>
      </c>
      <c r="C189" s="38" t="n">
        <f aca="false">'Assumptions &amp; Data'!C323</f>
        <v>46235</v>
      </c>
      <c r="D189" s="39" t="str">
        <f aca="false">INDEX('Assumptions &amp; Data'!$B$142:$B$201,MATCH(B189,'Assumptions &amp; Data'!$A$142:$A$201,0))</f>
        <v>Delhi NCR</v>
      </c>
      <c r="E189" s="37" t="n">
        <f aca="false">'Assumptions &amp; Data'!D323</f>
        <v>56592</v>
      </c>
      <c r="F189" s="39" t="n">
        <f aca="false">E189*'Assumptions &amp; Data'!E323</f>
        <v>37548792</v>
      </c>
      <c r="G189" s="39" t="n">
        <f aca="false">F189*'Assumptions &amp; Data'!F323</f>
        <v>1851155.4456</v>
      </c>
      <c r="H189" s="39" t="n">
        <f aca="false">F189-G189</f>
        <v>35697636.5544</v>
      </c>
      <c r="I189" s="39" t="n">
        <f aca="false">H189*'Assumptions &amp; Data'!G323</f>
        <v>5979354.122862</v>
      </c>
      <c r="J189" s="39" t="n">
        <f aca="false">E189*'Assumptions &amp; Data'!H323</f>
        <v>744750.72</v>
      </c>
      <c r="K189" s="39" t="n">
        <f aca="false">H189*'Assumptions &amp; Data'!I323</f>
        <v>1181591.76995064</v>
      </c>
      <c r="L189" s="39" t="n">
        <f aca="false">H189*'Assumptions &amp; Data'!J323</f>
        <v>1117336.02415272</v>
      </c>
      <c r="M189" s="39" t="n">
        <f aca="false">I189+J189+K189-L189</f>
        <v>6788360.58865992</v>
      </c>
      <c r="N189" s="39" t="n">
        <f aca="false">E189*'Assumptions &amp; Data'!N323</f>
        <v>2172566.88</v>
      </c>
      <c r="O189" s="39" t="n">
        <f aca="false">E189*'Assumptions &amp; Data'!O323</f>
        <v>578370.24</v>
      </c>
      <c r="P189" s="39" t="n">
        <f aca="false">H189*'Assumptions &amp; Data'!P323</f>
        <v>342697.31092224</v>
      </c>
      <c r="Q189" s="39" t="n">
        <f aca="false">M189-N189-O189-P189</f>
        <v>3694726.15773768</v>
      </c>
      <c r="R189" s="39" t="n">
        <f aca="false">'Assumptions &amp; Data'!L323*'Assumptions &amp; Data'!M323</f>
        <v>1080741</v>
      </c>
      <c r="S189" s="37" t="n">
        <f aca="false">'Assumptions &amp; Data'!Q323</f>
        <v>549000</v>
      </c>
      <c r="T189" s="37" t="n">
        <f aca="false">'Assumptions &amp; Data'!R323</f>
        <v>176865</v>
      </c>
      <c r="U189" s="37" t="n">
        <f aca="false">'Assumptions &amp; Data'!S323</f>
        <v>348112</v>
      </c>
      <c r="V189" s="39" t="n">
        <f aca="false">Q189-R189-S189-T189-U189</f>
        <v>1540008.15773768</v>
      </c>
      <c r="W189" s="39" t="n">
        <f aca="false">DAY(EOMONTH(C189,0))</f>
        <v>31</v>
      </c>
      <c r="X189" s="40" t="n">
        <f aca="false">E189/W189</f>
        <v>1825.54838709677</v>
      </c>
      <c r="Y189" s="39" t="n">
        <f aca="false">R189+S189+T189+U189</f>
        <v>2154718</v>
      </c>
    </row>
    <row r="190" customFormat="false" ht="15" hidden="false" customHeight="false" outlineLevel="0" collapsed="false">
      <c r="A190" s="37" t="str">
        <f aca="false">'Assumptions &amp; Data'!A324</f>
        <v>SM0120</v>
      </c>
      <c r="B190" s="37" t="str">
        <f aca="false">'Assumptions &amp; Data'!B324</f>
        <v>DS010</v>
      </c>
      <c r="C190" s="38" t="n">
        <f aca="false">'Assumptions &amp; Data'!C324</f>
        <v>46266</v>
      </c>
      <c r="D190" s="39" t="str">
        <f aca="false">INDEX('Assumptions &amp; Data'!$B$142:$B$201,MATCH(B190,'Assumptions &amp; Data'!$A$142:$A$201,0))</f>
        <v>Delhi NCR</v>
      </c>
      <c r="E190" s="37" t="n">
        <f aca="false">'Assumptions &amp; Data'!D324</f>
        <v>54033</v>
      </c>
      <c r="F190" s="39" t="n">
        <f aca="false">E190*'Assumptions &amp; Data'!E324</f>
        <v>36310176</v>
      </c>
      <c r="G190" s="39" t="n">
        <f aca="false">F190*'Assumptions &amp; Data'!F324</f>
        <v>1888129.152</v>
      </c>
      <c r="H190" s="39" t="n">
        <f aca="false">F190-G190</f>
        <v>34422046.848</v>
      </c>
      <c r="I190" s="39" t="n">
        <f aca="false">H190*'Assumptions &amp; Data'!G324</f>
        <v>5631446.8643328</v>
      </c>
      <c r="J190" s="39" t="n">
        <f aca="false">E190*'Assumptions &amp; Data'!H324</f>
        <v>697566.03</v>
      </c>
      <c r="K190" s="39" t="n">
        <f aca="false">H190*'Assumptions &amp; Data'!I324</f>
        <v>1118716.52256</v>
      </c>
      <c r="L190" s="39" t="n">
        <f aca="false">H190*'Assumptions &amp; Data'!J324</f>
        <v>1073967.8616576</v>
      </c>
      <c r="M190" s="39" t="n">
        <f aca="false">I190+J190+K190-L190</f>
        <v>6373761.5552352</v>
      </c>
      <c r="N190" s="39" t="n">
        <f aca="false">E190*'Assumptions &amp; Data'!N324</f>
        <v>2048391.03</v>
      </c>
      <c r="O190" s="39" t="n">
        <f aca="false">E190*'Assumptions &amp; Data'!O324</f>
        <v>557620.56</v>
      </c>
      <c r="P190" s="39" t="n">
        <f aca="false">H190*'Assumptions &amp; Data'!P324</f>
        <v>357989.2872192</v>
      </c>
      <c r="Q190" s="39" t="n">
        <f aca="false">M190-N190-O190-P190</f>
        <v>3409760.678016</v>
      </c>
      <c r="R190" s="39" t="n">
        <f aca="false">'Assumptions &amp; Data'!L324*'Assumptions &amp; Data'!M324</f>
        <v>1060500</v>
      </c>
      <c r="S190" s="37" t="n">
        <f aca="false">'Assumptions &amp; Data'!Q324</f>
        <v>549000</v>
      </c>
      <c r="T190" s="37" t="n">
        <f aca="false">'Assumptions &amp; Data'!R324</f>
        <v>173626</v>
      </c>
      <c r="U190" s="37" t="n">
        <f aca="false">'Assumptions &amp; Data'!S324</f>
        <v>300790</v>
      </c>
      <c r="V190" s="39" t="n">
        <f aca="false">Q190-R190-S190-T190-U190</f>
        <v>1325844.678016</v>
      </c>
      <c r="W190" s="39" t="n">
        <f aca="false">DAY(EOMONTH(C190,0))</f>
        <v>30</v>
      </c>
      <c r="X190" s="40" t="n">
        <f aca="false">E190/W190</f>
        <v>1801.1</v>
      </c>
      <c r="Y190" s="39" t="n">
        <f aca="false">R190+S190+T190+U190</f>
        <v>2083916</v>
      </c>
    </row>
    <row r="191" customFormat="false" ht="15" hidden="false" customHeight="false" outlineLevel="0" collapsed="false">
      <c r="A191" s="37" t="str">
        <f aca="false">'Assumptions &amp; Data'!A325</f>
        <v>SM0121</v>
      </c>
      <c r="B191" s="37" t="str">
        <f aca="false">'Assumptions &amp; Data'!B325</f>
        <v>DS011</v>
      </c>
      <c r="C191" s="38" t="n">
        <f aca="false">'Assumptions &amp; Data'!C325</f>
        <v>45931</v>
      </c>
      <c r="D191" s="39" t="str">
        <f aca="false">INDEX('Assumptions &amp; Data'!$B$142:$B$201,MATCH(B191,'Assumptions &amp; Data'!$A$142:$A$201,0))</f>
        <v>Delhi NCR</v>
      </c>
      <c r="E191" s="37" t="n">
        <f aca="false">'Assumptions &amp; Data'!D325</f>
        <v>31146</v>
      </c>
      <c r="F191" s="39" t="n">
        <f aca="false">E191*'Assumptions &amp; Data'!E325</f>
        <v>18805954.8</v>
      </c>
      <c r="G191" s="39" t="n">
        <f aca="false">F191*'Assumptions &amp; Data'!F325</f>
        <v>1030566.32304</v>
      </c>
      <c r="H191" s="39" t="n">
        <f aca="false">F191-G191</f>
        <v>17775388.47696</v>
      </c>
      <c r="I191" s="39" t="n">
        <f aca="false">H191*'Assumptions &amp; Data'!G325</f>
        <v>2993375.41952006</v>
      </c>
      <c r="J191" s="39" t="n">
        <f aca="false">E191*'Assumptions &amp; Data'!H325</f>
        <v>405520.92</v>
      </c>
      <c r="K191" s="39" t="n">
        <f aca="false">H191*'Assumptions &amp; Data'!I325</f>
        <v>501265.955050272</v>
      </c>
      <c r="L191" s="39" t="n">
        <f aca="false">H191*'Assumptions &amp; Data'!J325</f>
        <v>335954.842214544</v>
      </c>
      <c r="M191" s="39" t="n">
        <f aca="false">I191+J191+K191-L191</f>
        <v>3564207.45235579</v>
      </c>
      <c r="N191" s="39" t="n">
        <f aca="false">E191*'Assumptions &amp; Data'!N325</f>
        <v>1135583.16</v>
      </c>
      <c r="O191" s="39" t="n">
        <f aca="false">E191*'Assumptions &amp; Data'!O325</f>
        <v>310214.16</v>
      </c>
      <c r="P191" s="39" t="n">
        <f aca="false">H191*'Assumptions &amp; Data'!P325</f>
        <v>177753.8847696</v>
      </c>
      <c r="Q191" s="39" t="n">
        <f aca="false">M191-N191-O191-P191</f>
        <v>1940656.24758619</v>
      </c>
      <c r="R191" s="39" t="n">
        <f aca="false">'Assumptions &amp; Data'!L325*'Assumptions &amp; Data'!M325</f>
        <v>588000</v>
      </c>
      <c r="S191" s="37" t="n">
        <f aca="false">'Assumptions &amp; Data'!Q325</f>
        <v>364500</v>
      </c>
      <c r="T191" s="37" t="n">
        <f aca="false">'Assumptions &amp; Data'!R325</f>
        <v>179905</v>
      </c>
      <c r="U191" s="37" t="n">
        <f aca="false">'Assumptions &amp; Data'!S325</f>
        <v>129826</v>
      </c>
      <c r="V191" s="39" t="n">
        <f aca="false">Q191-R191-S191-T191-U191</f>
        <v>678425.247586192</v>
      </c>
      <c r="W191" s="39" t="n">
        <f aca="false">DAY(EOMONTH(C191,0))</f>
        <v>31</v>
      </c>
      <c r="X191" s="40" t="n">
        <f aca="false">E191/W191</f>
        <v>1004.70967741935</v>
      </c>
      <c r="Y191" s="39" t="n">
        <f aca="false">R191+S191+T191+U191</f>
        <v>1262231</v>
      </c>
    </row>
    <row r="192" customFormat="false" ht="15" hidden="false" customHeight="false" outlineLevel="0" collapsed="false">
      <c r="A192" s="37" t="str">
        <f aca="false">'Assumptions &amp; Data'!A326</f>
        <v>SM0122</v>
      </c>
      <c r="B192" s="37" t="str">
        <f aca="false">'Assumptions &amp; Data'!B326</f>
        <v>DS011</v>
      </c>
      <c r="C192" s="38" t="n">
        <f aca="false">'Assumptions &amp; Data'!C326</f>
        <v>45962</v>
      </c>
      <c r="D192" s="39" t="str">
        <f aca="false">INDEX('Assumptions &amp; Data'!$B$142:$B$201,MATCH(B192,'Assumptions &amp; Data'!$A$142:$A$201,0))</f>
        <v>Delhi NCR</v>
      </c>
      <c r="E192" s="37" t="n">
        <f aca="false">'Assumptions &amp; Data'!D326</f>
        <v>33127</v>
      </c>
      <c r="F192" s="39" t="n">
        <f aca="false">E192*'Assumptions &amp; Data'!E326</f>
        <v>20764003.6</v>
      </c>
      <c r="G192" s="39" t="n">
        <f aca="false">F192*'Assumptions &amp; Data'!F326</f>
        <v>1083880.98792</v>
      </c>
      <c r="H192" s="39" t="n">
        <f aca="false">F192-G192</f>
        <v>19680122.61208</v>
      </c>
      <c r="I192" s="39" t="n">
        <f aca="false">H192*'Assumptions &amp; Data'!G326</f>
        <v>3314132.64787427</v>
      </c>
      <c r="J192" s="39" t="n">
        <f aca="false">E192*'Assumptions &amp; Data'!H326</f>
        <v>420050.36</v>
      </c>
      <c r="K192" s="39" t="n">
        <f aca="false">H192*'Assumptions &amp; Data'!I326</f>
        <v>574659.580272736</v>
      </c>
      <c r="L192" s="39" t="n">
        <f aca="false">H192*'Assumptions &amp; Data'!J326</f>
        <v>385730.403196768</v>
      </c>
      <c r="M192" s="39" t="n">
        <f aca="false">I192+J192+K192-L192</f>
        <v>3923112.18495024</v>
      </c>
      <c r="N192" s="39" t="n">
        <f aca="false">E192*'Assumptions &amp; Data'!N326</f>
        <v>1190584.38</v>
      </c>
      <c r="O192" s="39" t="n">
        <f aca="false">E192*'Assumptions &amp; Data'!O326</f>
        <v>336901.59</v>
      </c>
      <c r="P192" s="39" t="n">
        <f aca="false">H192*'Assumptions &amp; Data'!P326</f>
        <v>206641.28742684</v>
      </c>
      <c r="Q192" s="39" t="n">
        <f aca="false">M192-N192-O192-P192</f>
        <v>2188984.9275234</v>
      </c>
      <c r="R192" s="39" t="n">
        <f aca="false">'Assumptions &amp; Data'!L326*'Assumptions &amp; Data'!M326</f>
        <v>651589</v>
      </c>
      <c r="S192" s="37" t="n">
        <f aca="false">'Assumptions &amp; Data'!Q326</f>
        <v>364500</v>
      </c>
      <c r="T192" s="37" t="n">
        <f aca="false">'Assumptions &amp; Data'!R326</f>
        <v>176174</v>
      </c>
      <c r="U192" s="37" t="n">
        <f aca="false">'Assumptions &amp; Data'!S326</f>
        <v>150558</v>
      </c>
      <c r="V192" s="39" t="n">
        <f aca="false">Q192-R192-S192-T192-U192</f>
        <v>846163.927523399</v>
      </c>
      <c r="W192" s="39" t="n">
        <f aca="false">DAY(EOMONTH(C192,0))</f>
        <v>30</v>
      </c>
      <c r="X192" s="40" t="n">
        <f aca="false">E192/W192</f>
        <v>1104.23333333333</v>
      </c>
      <c r="Y192" s="39" t="n">
        <f aca="false">R192+S192+T192+U192</f>
        <v>1342821</v>
      </c>
    </row>
    <row r="193" customFormat="false" ht="15" hidden="false" customHeight="false" outlineLevel="0" collapsed="false">
      <c r="A193" s="37" t="str">
        <f aca="false">'Assumptions &amp; Data'!A327</f>
        <v>SM0123</v>
      </c>
      <c r="B193" s="37" t="str">
        <f aca="false">'Assumptions &amp; Data'!B327</f>
        <v>DS011</v>
      </c>
      <c r="C193" s="38" t="n">
        <f aca="false">'Assumptions &amp; Data'!C327</f>
        <v>45992</v>
      </c>
      <c r="D193" s="39" t="str">
        <f aca="false">INDEX('Assumptions &amp; Data'!$B$142:$B$201,MATCH(B193,'Assumptions &amp; Data'!$A$142:$A$201,0))</f>
        <v>Delhi NCR</v>
      </c>
      <c r="E193" s="37" t="n">
        <f aca="false">'Assumptions &amp; Data'!D327</f>
        <v>32288</v>
      </c>
      <c r="F193" s="39" t="n">
        <f aca="false">E193*'Assumptions &amp; Data'!E327</f>
        <v>19682764.8</v>
      </c>
      <c r="G193" s="39" t="n">
        <f aca="false">F193*'Assumptions &amp; Data'!F327</f>
        <v>984138.24</v>
      </c>
      <c r="H193" s="39" t="n">
        <f aca="false">F193-G193</f>
        <v>18698626.56</v>
      </c>
      <c r="I193" s="39" t="n">
        <f aca="false">H193*'Assumptions &amp; Data'!G327</f>
        <v>3156328.163328</v>
      </c>
      <c r="J193" s="39" t="n">
        <f aca="false">E193*'Assumptions &amp; Data'!H327</f>
        <v>435242.24</v>
      </c>
      <c r="K193" s="39" t="n">
        <f aca="false">H193*'Assumptions &amp; Data'!I327</f>
        <v>521691.681024</v>
      </c>
      <c r="L193" s="39" t="n">
        <f aca="false">H193*'Assumptions &amp; Data'!J327</f>
        <v>364623.21792</v>
      </c>
      <c r="M193" s="39" t="n">
        <f aca="false">I193+J193+K193-L193</f>
        <v>3748638.866432</v>
      </c>
      <c r="N193" s="39" t="n">
        <f aca="false">E193*'Assumptions &amp; Data'!N327</f>
        <v>1160107.84</v>
      </c>
      <c r="O193" s="39" t="n">
        <f aca="false">E193*'Assumptions &amp; Data'!O327</f>
        <v>334826.56</v>
      </c>
      <c r="P193" s="39" t="n">
        <f aca="false">H193*'Assumptions &amp; Data'!P327</f>
        <v>181376.677632</v>
      </c>
      <c r="Q193" s="39" t="n">
        <f aca="false">M193-N193-O193-P193</f>
        <v>2072327.7888</v>
      </c>
      <c r="R193" s="39" t="n">
        <f aca="false">'Assumptions &amp; Data'!L327*'Assumptions &amp; Data'!M327</f>
        <v>589064</v>
      </c>
      <c r="S193" s="37" t="n">
        <f aca="false">'Assumptions &amp; Data'!Q327</f>
        <v>364500</v>
      </c>
      <c r="T193" s="37" t="n">
        <f aca="false">'Assumptions &amp; Data'!R327</f>
        <v>174150</v>
      </c>
      <c r="U193" s="37" t="n">
        <f aca="false">'Assumptions &amp; Data'!S327</f>
        <v>140463</v>
      </c>
      <c r="V193" s="39" t="n">
        <f aca="false">Q193-R193-S193-T193-U193</f>
        <v>804150.7888</v>
      </c>
      <c r="W193" s="39" t="n">
        <f aca="false">DAY(EOMONTH(C193,0))</f>
        <v>31</v>
      </c>
      <c r="X193" s="40" t="n">
        <f aca="false">E193/W193</f>
        <v>1041.54838709677</v>
      </c>
      <c r="Y193" s="39" t="n">
        <f aca="false">R193+S193+T193+U193</f>
        <v>1268177</v>
      </c>
    </row>
    <row r="194" customFormat="false" ht="15" hidden="false" customHeight="false" outlineLevel="0" collapsed="false">
      <c r="A194" s="37" t="str">
        <f aca="false">'Assumptions &amp; Data'!A328</f>
        <v>SM0124</v>
      </c>
      <c r="B194" s="37" t="str">
        <f aca="false">'Assumptions &amp; Data'!B328</f>
        <v>DS011</v>
      </c>
      <c r="C194" s="38" t="n">
        <f aca="false">'Assumptions &amp; Data'!C328</f>
        <v>46023</v>
      </c>
      <c r="D194" s="39" t="str">
        <f aca="false">INDEX('Assumptions &amp; Data'!$B$142:$B$201,MATCH(B194,'Assumptions &amp; Data'!$A$142:$A$201,0))</f>
        <v>Delhi NCR</v>
      </c>
      <c r="E194" s="37" t="n">
        <f aca="false">'Assumptions &amp; Data'!D328</f>
        <v>31220</v>
      </c>
      <c r="F194" s="39" t="n">
        <f aca="false">E194*'Assumptions &amp; Data'!E328</f>
        <v>18632096</v>
      </c>
      <c r="G194" s="39" t="n">
        <f aca="false">F194*'Assumptions &amp; Data'!F328</f>
        <v>989364.2976</v>
      </c>
      <c r="H194" s="39" t="n">
        <f aca="false">F194-G194</f>
        <v>17642731.7024</v>
      </c>
      <c r="I194" s="39" t="n">
        <f aca="false">H194*'Assumptions &amp; Data'!G328</f>
        <v>2974564.56502464</v>
      </c>
      <c r="J194" s="39" t="n">
        <f aca="false">E194*'Assumptions &amp; Data'!H328</f>
        <v>397742.8</v>
      </c>
      <c r="K194" s="39" t="n">
        <f aca="false">H194*'Assumptions &amp; Data'!I328</f>
        <v>465768.11694336</v>
      </c>
      <c r="L194" s="39" t="n">
        <f aca="false">H194*'Assumptions &amp; Data'!J328</f>
        <v>347561.81453728</v>
      </c>
      <c r="M194" s="39" t="n">
        <f aca="false">I194+J194+K194-L194</f>
        <v>3490513.66743072</v>
      </c>
      <c r="N194" s="39" t="n">
        <f aca="false">E194*'Assumptions &amp; Data'!N328</f>
        <v>1109246.6</v>
      </c>
      <c r="O194" s="39" t="n">
        <f aca="false">E194*'Assumptions &amp; Data'!O328</f>
        <v>317819.6</v>
      </c>
      <c r="P194" s="39" t="n">
        <f aca="false">H194*'Assumptions &amp; Data'!P328</f>
        <v>174663.04385376</v>
      </c>
      <c r="Q194" s="39" t="n">
        <f aca="false">M194-N194-O194-P194</f>
        <v>1888784.42357696</v>
      </c>
      <c r="R194" s="39" t="n">
        <f aca="false">'Assumptions &amp; Data'!L328*'Assumptions &amp; Data'!M328</f>
        <v>568539</v>
      </c>
      <c r="S194" s="37" t="n">
        <f aca="false">'Assumptions &amp; Data'!Q328</f>
        <v>364500</v>
      </c>
      <c r="T194" s="37" t="n">
        <f aca="false">'Assumptions &amp; Data'!R328</f>
        <v>179549</v>
      </c>
      <c r="U194" s="37" t="n">
        <f aca="false">'Assumptions &amp; Data'!S328</f>
        <v>118340</v>
      </c>
      <c r="V194" s="39" t="n">
        <f aca="false">Q194-R194-S194-T194-U194</f>
        <v>657856.42357696</v>
      </c>
      <c r="W194" s="39" t="n">
        <f aca="false">DAY(EOMONTH(C194,0))</f>
        <v>31</v>
      </c>
      <c r="X194" s="40" t="n">
        <f aca="false">E194/W194</f>
        <v>1007.09677419355</v>
      </c>
      <c r="Y194" s="39" t="n">
        <f aca="false">R194+S194+T194+U194</f>
        <v>1230928</v>
      </c>
    </row>
    <row r="195" customFormat="false" ht="15" hidden="false" customHeight="false" outlineLevel="0" collapsed="false">
      <c r="A195" s="37" t="str">
        <f aca="false">'Assumptions &amp; Data'!A329</f>
        <v>SM0125</v>
      </c>
      <c r="B195" s="37" t="str">
        <f aca="false">'Assumptions &amp; Data'!B329</f>
        <v>DS011</v>
      </c>
      <c r="C195" s="38" t="n">
        <f aca="false">'Assumptions &amp; Data'!C329</f>
        <v>46054</v>
      </c>
      <c r="D195" s="39" t="str">
        <f aca="false">INDEX('Assumptions &amp; Data'!$B$142:$B$201,MATCH(B195,'Assumptions &amp; Data'!$A$142:$A$201,0))</f>
        <v>Delhi NCR</v>
      </c>
      <c r="E195" s="37" t="n">
        <f aca="false">'Assumptions &amp; Data'!D329</f>
        <v>28124</v>
      </c>
      <c r="F195" s="39" t="n">
        <f aca="false">E195*'Assumptions &amp; Data'!E329</f>
        <v>17268136</v>
      </c>
      <c r="G195" s="39" t="n">
        <f aca="false">F195*'Assumptions &amp; Data'!F329</f>
        <v>894489.4448</v>
      </c>
      <c r="H195" s="39" t="n">
        <f aca="false">F195-G195</f>
        <v>16373646.5552</v>
      </c>
      <c r="I195" s="39" t="n">
        <f aca="false">H195*'Assumptions &amp; Data'!G329</f>
        <v>2793344.10231712</v>
      </c>
      <c r="J195" s="39" t="n">
        <f aca="false">E195*'Assumptions &amp; Data'!H329</f>
        <v>361112.16</v>
      </c>
      <c r="K195" s="39" t="n">
        <f aca="false">H195*'Assumptions &amp; Data'!I329</f>
        <v>483022.5733784</v>
      </c>
      <c r="L195" s="39" t="n">
        <f aca="false">H195*'Assumptions &amp; Data'!J329</f>
        <v>307824.55523776</v>
      </c>
      <c r="M195" s="39" t="n">
        <f aca="false">I195+J195+K195-L195</f>
        <v>3329654.28045776</v>
      </c>
      <c r="N195" s="39" t="n">
        <f aca="false">E195*'Assumptions &amp; Data'!N329</f>
        <v>1022026.16</v>
      </c>
      <c r="O195" s="39" t="n">
        <f aca="false">E195*'Assumptions &amp; Data'!O329</f>
        <v>281521.24</v>
      </c>
      <c r="P195" s="39" t="n">
        <f aca="false">H195*'Assumptions &amp; Data'!P329</f>
        <v>167011.19486304</v>
      </c>
      <c r="Q195" s="39" t="n">
        <f aca="false">M195-N195-O195-P195</f>
        <v>1859095.68559472</v>
      </c>
      <c r="R195" s="39" t="n">
        <f aca="false">'Assumptions &amp; Data'!L329*'Assumptions &amp; Data'!M329</f>
        <v>590128</v>
      </c>
      <c r="S195" s="37" t="n">
        <f aca="false">'Assumptions &amp; Data'!Q329</f>
        <v>364500</v>
      </c>
      <c r="T195" s="37" t="n">
        <f aca="false">'Assumptions &amp; Data'!R329</f>
        <v>187949</v>
      </c>
      <c r="U195" s="37" t="n">
        <f aca="false">'Assumptions &amp; Data'!S329</f>
        <v>119396</v>
      </c>
      <c r="V195" s="39" t="n">
        <f aca="false">Q195-R195-S195-T195-U195</f>
        <v>597122.68559472</v>
      </c>
      <c r="W195" s="39" t="n">
        <f aca="false">DAY(EOMONTH(C195,0))</f>
        <v>28</v>
      </c>
      <c r="X195" s="40" t="n">
        <f aca="false">E195/W195</f>
        <v>1004.42857142857</v>
      </c>
      <c r="Y195" s="39" t="n">
        <f aca="false">R195+S195+T195+U195</f>
        <v>1261973</v>
      </c>
    </row>
    <row r="196" customFormat="false" ht="15" hidden="false" customHeight="false" outlineLevel="0" collapsed="false">
      <c r="A196" s="37" t="str">
        <f aca="false">'Assumptions &amp; Data'!A330</f>
        <v>SM0126</v>
      </c>
      <c r="B196" s="37" t="str">
        <f aca="false">'Assumptions &amp; Data'!B330</f>
        <v>DS011</v>
      </c>
      <c r="C196" s="38" t="n">
        <f aca="false">'Assumptions &amp; Data'!C330</f>
        <v>46082</v>
      </c>
      <c r="D196" s="39" t="str">
        <f aca="false">INDEX('Assumptions &amp; Data'!$B$142:$B$201,MATCH(B196,'Assumptions &amp; Data'!$A$142:$A$201,0))</f>
        <v>Delhi NCR</v>
      </c>
      <c r="E196" s="37" t="n">
        <f aca="false">'Assumptions &amp; Data'!D330</f>
        <v>31902</v>
      </c>
      <c r="F196" s="39" t="n">
        <f aca="false">E196*'Assumptions &amp; Data'!E330</f>
        <v>19517643.6</v>
      </c>
      <c r="G196" s="39" t="n">
        <f aca="false">F196*'Assumptions &amp; Data'!F330</f>
        <v>1053952.7544</v>
      </c>
      <c r="H196" s="39" t="n">
        <f aca="false">F196-G196</f>
        <v>18463690.8456</v>
      </c>
      <c r="I196" s="39" t="n">
        <f aca="false">H196*'Assumptions &amp; Data'!G330</f>
        <v>3166522.9800204</v>
      </c>
      <c r="J196" s="39" t="n">
        <f aca="false">E196*'Assumptions &amp; Data'!H330</f>
        <v>417278.16</v>
      </c>
      <c r="K196" s="39" t="n">
        <f aca="false">H196*'Assumptions &amp; Data'!I330</f>
        <v>513290.60550768</v>
      </c>
      <c r="L196" s="39" t="n">
        <f aca="false">H196*'Assumptions &amp; Data'!J330</f>
        <v>350810.1260664</v>
      </c>
      <c r="M196" s="39" t="n">
        <f aca="false">I196+J196+K196-L196</f>
        <v>3746281.61946168</v>
      </c>
      <c r="N196" s="39" t="n">
        <f aca="false">E196*'Assumptions &amp; Data'!N330</f>
        <v>1136987.28</v>
      </c>
      <c r="O196" s="39" t="n">
        <f aca="false">E196*'Assumptions &amp; Data'!O330</f>
        <v>335928.06</v>
      </c>
      <c r="P196" s="39" t="n">
        <f aca="false">H196*'Assumptions &amp; Data'!P330</f>
        <v>193868.7538788</v>
      </c>
      <c r="Q196" s="39" t="n">
        <f aca="false">M196-N196-O196-P196</f>
        <v>2079497.52558288</v>
      </c>
      <c r="R196" s="39" t="n">
        <f aca="false">'Assumptions &amp; Data'!L330*'Assumptions &amp; Data'!M330</f>
        <v>590660</v>
      </c>
      <c r="S196" s="37" t="n">
        <f aca="false">'Assumptions &amp; Data'!Q330</f>
        <v>364500</v>
      </c>
      <c r="T196" s="37" t="n">
        <f aca="false">'Assumptions &amp; Data'!R330</f>
        <v>172528</v>
      </c>
      <c r="U196" s="37" t="n">
        <f aca="false">'Assumptions &amp; Data'!S330</f>
        <v>138714</v>
      </c>
      <c r="V196" s="39" t="n">
        <f aca="false">Q196-R196-S196-T196-U196</f>
        <v>813095.52558288</v>
      </c>
      <c r="W196" s="39" t="n">
        <f aca="false">DAY(EOMONTH(C196,0))</f>
        <v>31</v>
      </c>
      <c r="X196" s="40" t="n">
        <f aca="false">E196/W196</f>
        <v>1029.09677419355</v>
      </c>
      <c r="Y196" s="39" t="n">
        <f aca="false">R196+S196+T196+U196</f>
        <v>1266402</v>
      </c>
    </row>
    <row r="197" customFormat="false" ht="15" hidden="false" customHeight="false" outlineLevel="0" collapsed="false">
      <c r="A197" s="37" t="str">
        <f aca="false">'Assumptions &amp; Data'!A331</f>
        <v>SM0127</v>
      </c>
      <c r="B197" s="37" t="str">
        <f aca="false">'Assumptions &amp; Data'!B331</f>
        <v>DS011</v>
      </c>
      <c r="C197" s="38" t="n">
        <f aca="false">'Assumptions &amp; Data'!C331</f>
        <v>46113</v>
      </c>
      <c r="D197" s="39" t="str">
        <f aca="false">INDEX('Assumptions &amp; Data'!$B$142:$B$201,MATCH(B197,'Assumptions &amp; Data'!$A$142:$A$201,0))</f>
        <v>Delhi NCR</v>
      </c>
      <c r="E197" s="37" t="n">
        <f aca="false">'Assumptions &amp; Data'!D331</f>
        <v>32679</v>
      </c>
      <c r="F197" s="39" t="n">
        <f aca="false">E197*'Assumptions &amp; Data'!E331</f>
        <v>19996280.1</v>
      </c>
      <c r="G197" s="39" t="n">
        <f aca="false">F197*'Assumptions &amp; Data'!F331</f>
        <v>1027808.79714</v>
      </c>
      <c r="H197" s="39" t="n">
        <f aca="false">F197-G197</f>
        <v>18968471.30286</v>
      </c>
      <c r="I197" s="39" t="n">
        <f aca="false">H197*'Assumptions &amp; Data'!G331</f>
        <v>3198084.2616622</v>
      </c>
      <c r="J197" s="39" t="n">
        <f aca="false">E197*'Assumptions &amp; Data'!H331</f>
        <v>452604.15</v>
      </c>
      <c r="K197" s="39" t="n">
        <f aca="false">H197*'Assumptions &amp; Data'!I331</f>
        <v>540601.43213151</v>
      </c>
      <c r="L197" s="39" t="n">
        <f aca="false">H197*'Assumptions &amp; Data'!J331</f>
        <v>371782.037536056</v>
      </c>
      <c r="M197" s="39" t="n">
        <f aca="false">I197+J197+K197-L197</f>
        <v>3819507.80625765</v>
      </c>
      <c r="N197" s="39" t="n">
        <f aca="false">E197*'Assumptions &amp; Data'!N331</f>
        <v>1197031.77</v>
      </c>
      <c r="O197" s="39" t="n">
        <f aca="false">E197*'Assumptions &amp; Data'!O331</f>
        <v>324175.68</v>
      </c>
      <c r="P197" s="39" t="n">
        <f aca="false">H197*'Assumptions &amp; Data'!P331</f>
        <v>195375.254419458</v>
      </c>
      <c r="Q197" s="39" t="n">
        <f aca="false">M197-N197-O197-P197</f>
        <v>2102925.10183819</v>
      </c>
      <c r="R197" s="39" t="n">
        <f aca="false">'Assumptions &amp; Data'!L331*'Assumptions &amp; Data'!M331</f>
        <v>633450</v>
      </c>
      <c r="S197" s="37" t="n">
        <f aca="false">'Assumptions &amp; Data'!Q331</f>
        <v>364500</v>
      </c>
      <c r="T197" s="37" t="n">
        <f aca="false">'Assumptions &amp; Data'!R331</f>
        <v>181468</v>
      </c>
      <c r="U197" s="37" t="n">
        <f aca="false">'Assumptions &amp; Data'!S331</f>
        <v>122516</v>
      </c>
      <c r="V197" s="39" t="n">
        <f aca="false">Q197-R197-S197-T197-U197</f>
        <v>800991.101838192</v>
      </c>
      <c r="W197" s="39" t="n">
        <f aca="false">DAY(EOMONTH(C197,0))</f>
        <v>30</v>
      </c>
      <c r="X197" s="40" t="n">
        <f aca="false">E197/W197</f>
        <v>1089.3</v>
      </c>
      <c r="Y197" s="39" t="n">
        <f aca="false">R197+S197+T197+U197</f>
        <v>1301934</v>
      </c>
    </row>
    <row r="198" customFormat="false" ht="15" hidden="false" customHeight="false" outlineLevel="0" collapsed="false">
      <c r="A198" s="37" t="str">
        <f aca="false">'Assumptions &amp; Data'!A332</f>
        <v>SM0128</v>
      </c>
      <c r="B198" s="37" t="str">
        <f aca="false">'Assumptions &amp; Data'!B332</f>
        <v>DS011</v>
      </c>
      <c r="C198" s="38" t="n">
        <f aca="false">'Assumptions &amp; Data'!C332</f>
        <v>46143</v>
      </c>
      <c r="D198" s="39" t="str">
        <f aca="false">INDEX('Assumptions &amp; Data'!$B$142:$B$201,MATCH(B198,'Assumptions &amp; Data'!$A$142:$A$201,0))</f>
        <v>Delhi NCR</v>
      </c>
      <c r="E198" s="37" t="n">
        <f aca="false">'Assumptions &amp; Data'!D332</f>
        <v>34373</v>
      </c>
      <c r="F198" s="39" t="n">
        <f aca="false">E198*'Assumptions &amp; Data'!E332</f>
        <v>21661864.6</v>
      </c>
      <c r="G198" s="39" t="n">
        <f aca="false">F198*'Assumptions &amp; Data'!F332</f>
        <v>1161075.94256</v>
      </c>
      <c r="H198" s="39" t="n">
        <f aca="false">F198-G198</f>
        <v>20500788.65744</v>
      </c>
      <c r="I198" s="39" t="n">
        <f aca="false">H198*'Assumptions &amp; Data'!G332</f>
        <v>3452332.8099129</v>
      </c>
      <c r="J198" s="39" t="n">
        <f aca="false">E198*'Assumptions &amp; Data'!H332</f>
        <v>439974.4</v>
      </c>
      <c r="K198" s="39" t="n">
        <f aca="false">H198*'Assumptions &amp; Data'!I332</f>
        <v>604773.26539448</v>
      </c>
      <c r="L198" s="39" t="n">
        <f aca="false">H198*'Assumptions &amp; Data'!J332</f>
        <v>397715.299954336</v>
      </c>
      <c r="M198" s="39" t="n">
        <f aca="false">I198+J198+K198-L198</f>
        <v>4099365.17535304</v>
      </c>
      <c r="N198" s="39" t="n">
        <f aca="false">E198*'Assumptions &amp; Data'!N332</f>
        <v>1230209.67</v>
      </c>
      <c r="O198" s="39" t="n">
        <f aca="false">E198*'Assumptions &amp; Data'!O332</f>
        <v>350260.87</v>
      </c>
      <c r="P198" s="39" t="n">
        <f aca="false">H198*'Assumptions &amp; Data'!P332</f>
        <v>207057.965440144</v>
      </c>
      <c r="Q198" s="39" t="n">
        <f aca="false">M198-N198-O198-P198</f>
        <v>2311836.6699129</v>
      </c>
      <c r="R198" s="39" t="n">
        <f aca="false">'Assumptions &amp; Data'!L332*'Assumptions &amp; Data'!M332</f>
        <v>655154</v>
      </c>
      <c r="S198" s="37" t="n">
        <f aca="false">'Assumptions &amp; Data'!Q332</f>
        <v>364500</v>
      </c>
      <c r="T198" s="37" t="n">
        <f aca="false">'Assumptions &amp; Data'!R332</f>
        <v>183166</v>
      </c>
      <c r="U198" s="37" t="n">
        <f aca="false">'Assumptions &amp; Data'!S332</f>
        <v>143867</v>
      </c>
      <c r="V198" s="39" t="n">
        <f aca="false">Q198-R198-S198-T198-U198</f>
        <v>965149.669912896</v>
      </c>
      <c r="W198" s="39" t="n">
        <f aca="false">DAY(EOMONTH(C198,0))</f>
        <v>31</v>
      </c>
      <c r="X198" s="40" t="n">
        <f aca="false">E198/W198</f>
        <v>1108.8064516129</v>
      </c>
      <c r="Y198" s="39" t="n">
        <f aca="false">R198+S198+T198+U198</f>
        <v>1346687</v>
      </c>
    </row>
    <row r="199" customFormat="false" ht="15" hidden="false" customHeight="false" outlineLevel="0" collapsed="false">
      <c r="A199" s="37" t="str">
        <f aca="false">'Assumptions &amp; Data'!A333</f>
        <v>SM0129</v>
      </c>
      <c r="B199" s="37" t="str">
        <f aca="false">'Assumptions &amp; Data'!B333</f>
        <v>DS011</v>
      </c>
      <c r="C199" s="38" t="n">
        <f aca="false">'Assumptions &amp; Data'!C333</f>
        <v>46174</v>
      </c>
      <c r="D199" s="39" t="str">
        <f aca="false">INDEX('Assumptions &amp; Data'!$B$142:$B$201,MATCH(B199,'Assumptions &amp; Data'!$A$142:$A$201,0))</f>
        <v>Delhi NCR</v>
      </c>
      <c r="E199" s="37" t="n">
        <f aca="false">'Assumptions &amp; Data'!D333</f>
        <v>33730</v>
      </c>
      <c r="F199" s="39" t="n">
        <f aca="false">E199*'Assumptions &amp; Data'!E333</f>
        <v>20403277</v>
      </c>
      <c r="G199" s="39" t="n">
        <f aca="false">F199*'Assumptions &amp; Data'!F333</f>
        <v>1050768.7655</v>
      </c>
      <c r="H199" s="39" t="n">
        <f aca="false">F199-G199</f>
        <v>19352508.2345</v>
      </c>
      <c r="I199" s="39" t="n">
        <f aca="false">H199*'Assumptions &amp; Data'!G333</f>
        <v>3214451.61775045</v>
      </c>
      <c r="J199" s="39" t="n">
        <f aca="false">E199*'Assumptions &amp; Data'!H333</f>
        <v>464799.4</v>
      </c>
      <c r="K199" s="39" t="n">
        <f aca="false">H199*'Assumptions &amp; Data'!I333</f>
        <v>547675.98303635</v>
      </c>
      <c r="L199" s="39" t="n">
        <f aca="false">H199*'Assumptions &amp; Data'!J333</f>
        <v>381244.41221965</v>
      </c>
      <c r="M199" s="39" t="n">
        <f aca="false">I199+J199+K199-L199</f>
        <v>3845682.58856715</v>
      </c>
      <c r="N199" s="39" t="n">
        <f aca="false">E199*'Assumptions &amp; Data'!N333</f>
        <v>1221026</v>
      </c>
      <c r="O199" s="39" t="n">
        <f aca="false">E199*'Assumptions &amp; Data'!O333</f>
        <v>341010.3</v>
      </c>
      <c r="P199" s="39" t="n">
        <f aca="false">H199*'Assumptions &amp; Data'!P333</f>
        <v>185784.0790512</v>
      </c>
      <c r="Q199" s="39" t="n">
        <f aca="false">M199-N199-O199-P199</f>
        <v>2097862.20951595</v>
      </c>
      <c r="R199" s="39" t="n">
        <f aca="false">'Assumptions &amp; Data'!L333*'Assumptions &amp; Data'!M333</f>
        <v>592284</v>
      </c>
      <c r="S199" s="37" t="n">
        <f aca="false">'Assumptions &amp; Data'!Q333</f>
        <v>364500</v>
      </c>
      <c r="T199" s="37" t="n">
        <f aca="false">'Assumptions &amp; Data'!R333</f>
        <v>179675</v>
      </c>
      <c r="U199" s="37" t="n">
        <f aca="false">'Assumptions &amp; Data'!S333</f>
        <v>145985</v>
      </c>
      <c r="V199" s="39" t="n">
        <f aca="false">Q199-R199-S199-T199-U199</f>
        <v>815418.209515949</v>
      </c>
      <c r="W199" s="39" t="n">
        <f aca="false">DAY(EOMONTH(C199,0))</f>
        <v>30</v>
      </c>
      <c r="X199" s="40" t="n">
        <f aca="false">E199/W199</f>
        <v>1124.33333333333</v>
      </c>
      <c r="Y199" s="39" t="n">
        <f aca="false">R199+S199+T199+U199</f>
        <v>1282444</v>
      </c>
    </row>
    <row r="200" customFormat="false" ht="15" hidden="false" customHeight="false" outlineLevel="0" collapsed="false">
      <c r="A200" s="37" t="str">
        <f aca="false">'Assumptions &amp; Data'!A334</f>
        <v>SM0130</v>
      </c>
      <c r="B200" s="37" t="str">
        <f aca="false">'Assumptions &amp; Data'!B334</f>
        <v>DS011</v>
      </c>
      <c r="C200" s="38" t="n">
        <f aca="false">'Assumptions &amp; Data'!C334</f>
        <v>46204</v>
      </c>
      <c r="D200" s="39" t="str">
        <f aca="false">INDEX('Assumptions &amp; Data'!$B$142:$B$201,MATCH(B200,'Assumptions &amp; Data'!$A$142:$A$201,0))</f>
        <v>Delhi NCR</v>
      </c>
      <c r="E200" s="37" t="n">
        <f aca="false">'Assumptions &amp; Data'!D334</f>
        <v>30219</v>
      </c>
      <c r="F200" s="39" t="n">
        <f aca="false">E200*'Assumptions &amp; Data'!E334</f>
        <v>18324801.6</v>
      </c>
      <c r="G200" s="39" t="n">
        <f aca="false">F200*'Assumptions &amp; Data'!F334</f>
        <v>962052.084</v>
      </c>
      <c r="H200" s="39" t="n">
        <f aca="false">F200-G200</f>
        <v>17362749.516</v>
      </c>
      <c r="I200" s="39" t="n">
        <f aca="false">H200*'Assumptions &amp; Data'!G334</f>
        <v>2923887.0184944</v>
      </c>
      <c r="J200" s="39" t="n">
        <f aca="false">E200*'Assumptions &amp; Data'!H334</f>
        <v>405538.98</v>
      </c>
      <c r="K200" s="39" t="n">
        <f aca="false">H200*'Assumptions &amp; Data'!I334</f>
        <v>519146.2105284</v>
      </c>
      <c r="L200" s="39" t="n">
        <f aca="false">H200*'Assumptions &amp; Data'!J334</f>
        <v>340309.8905136</v>
      </c>
      <c r="M200" s="39" t="n">
        <f aca="false">I200+J200+K200-L200</f>
        <v>3508262.3185092</v>
      </c>
      <c r="N200" s="39" t="n">
        <f aca="false">E200*'Assumptions &amp; Data'!N334</f>
        <v>1074587.64</v>
      </c>
      <c r="O200" s="39" t="n">
        <f aca="false">E200*'Assumptions &amp; Data'!O334</f>
        <v>307931.61</v>
      </c>
      <c r="P200" s="39" t="n">
        <f aca="false">H200*'Assumptions &amp; Data'!P334</f>
        <v>173627.49516</v>
      </c>
      <c r="Q200" s="39" t="n">
        <f aca="false">M200-N200-O200-P200</f>
        <v>1952115.5733492</v>
      </c>
      <c r="R200" s="39" t="n">
        <f aca="false">'Assumptions &amp; Data'!L334*'Assumptions &amp; Data'!M334</f>
        <v>550472</v>
      </c>
      <c r="S200" s="37" t="n">
        <f aca="false">'Assumptions &amp; Data'!Q334</f>
        <v>364500</v>
      </c>
      <c r="T200" s="37" t="n">
        <f aca="false">'Assumptions &amp; Data'!R334</f>
        <v>176838</v>
      </c>
      <c r="U200" s="37" t="n">
        <f aca="false">'Assumptions &amp; Data'!S334</f>
        <v>129065</v>
      </c>
      <c r="V200" s="39" t="n">
        <f aca="false">Q200-R200-S200-T200-U200</f>
        <v>731240.5733492</v>
      </c>
      <c r="W200" s="39" t="n">
        <f aca="false">DAY(EOMONTH(C200,0))</f>
        <v>31</v>
      </c>
      <c r="X200" s="40" t="n">
        <f aca="false">E200/W200</f>
        <v>974.806451612903</v>
      </c>
      <c r="Y200" s="39" t="n">
        <f aca="false">R200+S200+T200+U200</f>
        <v>1220875</v>
      </c>
    </row>
    <row r="201" customFormat="false" ht="15" hidden="false" customHeight="false" outlineLevel="0" collapsed="false">
      <c r="A201" s="37" t="str">
        <f aca="false">'Assumptions &amp; Data'!A335</f>
        <v>SM0131</v>
      </c>
      <c r="B201" s="37" t="str">
        <f aca="false">'Assumptions &amp; Data'!B335</f>
        <v>DS011</v>
      </c>
      <c r="C201" s="38" t="n">
        <f aca="false">'Assumptions &amp; Data'!C335</f>
        <v>46235</v>
      </c>
      <c r="D201" s="39" t="str">
        <f aca="false">INDEX('Assumptions &amp; Data'!$B$142:$B$201,MATCH(B201,'Assumptions &amp; Data'!$A$142:$A$201,0))</f>
        <v>Delhi NCR</v>
      </c>
      <c r="E201" s="37" t="n">
        <f aca="false">'Assumptions &amp; Data'!D335</f>
        <v>36181</v>
      </c>
      <c r="F201" s="39" t="n">
        <f aca="false">E201*'Assumptions &amp; Data'!E335</f>
        <v>22215134</v>
      </c>
      <c r="G201" s="39" t="n">
        <f aca="false">F201*'Assumptions &amp; Data'!F335</f>
        <v>1172959.0752</v>
      </c>
      <c r="H201" s="39" t="n">
        <f aca="false">F201-G201</f>
        <v>21042174.9248</v>
      </c>
      <c r="I201" s="39" t="n">
        <f aca="false">H201*'Assumptions &amp; Data'!G335</f>
        <v>3530876.95238144</v>
      </c>
      <c r="J201" s="39" t="n">
        <f aca="false">E201*'Assumptions &amp; Data'!H335</f>
        <v>474694.72</v>
      </c>
      <c r="K201" s="39" t="n">
        <f aca="false">H201*'Assumptions &amp; Data'!I335</f>
        <v>561826.07049216</v>
      </c>
      <c r="L201" s="39" t="n">
        <f aca="false">H201*'Assumptions &amp; Data'!J335</f>
        <v>401905.54106368</v>
      </c>
      <c r="M201" s="39" t="n">
        <f aca="false">I201+J201+K201-L201</f>
        <v>4165492.20180992</v>
      </c>
      <c r="N201" s="39" t="n">
        <f aca="false">E201*'Assumptions &amp; Data'!N335</f>
        <v>1307219.53</v>
      </c>
      <c r="O201" s="39" t="n">
        <f aca="false">E201*'Assumptions &amp; Data'!O335</f>
        <v>379900.5</v>
      </c>
      <c r="P201" s="39" t="n">
        <f aca="false">H201*'Assumptions &amp; Data'!P335</f>
        <v>212525.96674048</v>
      </c>
      <c r="Q201" s="39" t="n">
        <f aca="false">M201-N201-O201-P201</f>
        <v>2265846.20506944</v>
      </c>
      <c r="R201" s="39" t="n">
        <f aca="false">'Assumptions &amp; Data'!L335*'Assumptions &amp; Data'!M335</f>
        <v>678112</v>
      </c>
      <c r="S201" s="37" t="n">
        <f aca="false">'Assumptions &amp; Data'!Q335</f>
        <v>364500</v>
      </c>
      <c r="T201" s="37" t="n">
        <f aca="false">'Assumptions &amp; Data'!R335</f>
        <v>178594</v>
      </c>
      <c r="U201" s="37" t="n">
        <f aca="false">'Assumptions &amp; Data'!S335</f>
        <v>147603</v>
      </c>
      <c r="V201" s="39" t="n">
        <f aca="false">Q201-R201-S201-T201-U201</f>
        <v>897037.20506944</v>
      </c>
      <c r="W201" s="39" t="n">
        <f aca="false">DAY(EOMONTH(C201,0))</f>
        <v>31</v>
      </c>
      <c r="X201" s="40" t="n">
        <f aca="false">E201/W201</f>
        <v>1167.12903225806</v>
      </c>
      <c r="Y201" s="39" t="n">
        <f aca="false">R201+S201+T201+U201</f>
        <v>1368809</v>
      </c>
    </row>
    <row r="202" customFormat="false" ht="15" hidden="false" customHeight="false" outlineLevel="0" collapsed="false">
      <c r="A202" s="37" t="str">
        <f aca="false">'Assumptions &amp; Data'!A336</f>
        <v>SM0132</v>
      </c>
      <c r="B202" s="37" t="str">
        <f aca="false">'Assumptions &amp; Data'!B336</f>
        <v>DS011</v>
      </c>
      <c r="C202" s="38" t="n">
        <f aca="false">'Assumptions &amp; Data'!C336</f>
        <v>46266</v>
      </c>
      <c r="D202" s="39" t="str">
        <f aca="false">INDEX('Assumptions &amp; Data'!$B$142:$B$201,MATCH(B202,'Assumptions &amp; Data'!$A$142:$A$201,0))</f>
        <v>Delhi NCR</v>
      </c>
      <c r="E202" s="37" t="n">
        <f aca="false">'Assumptions &amp; Data'!D336</f>
        <v>30940</v>
      </c>
      <c r="F202" s="39" t="n">
        <f aca="false">E202*'Assumptions &amp; Data'!E336</f>
        <v>18941468</v>
      </c>
      <c r="G202" s="39" t="n">
        <f aca="false">F202*'Assumptions &amp; Data'!F336</f>
        <v>1003897.804</v>
      </c>
      <c r="H202" s="39" t="n">
        <f aca="false">F202-G202</f>
        <v>17937570.196</v>
      </c>
      <c r="I202" s="39" t="n">
        <f aca="false">H202*'Assumptions &amp; Data'!G336</f>
        <v>3047593.1763004</v>
      </c>
      <c r="J202" s="39" t="n">
        <f aca="false">E202*'Assumptions &amp; Data'!H336</f>
        <v>403767</v>
      </c>
      <c r="K202" s="39" t="n">
        <f aca="false">H202*'Assumptions &amp; Data'!I336</f>
        <v>514808.2646252</v>
      </c>
      <c r="L202" s="39" t="n">
        <f aca="false">H202*'Assumptions &amp; Data'!J336</f>
        <v>340813.833724</v>
      </c>
      <c r="M202" s="39" t="n">
        <f aca="false">I202+J202+K202-L202</f>
        <v>3625354.6072016</v>
      </c>
      <c r="N202" s="39" t="n">
        <f aca="false">E202*'Assumptions &amp; Data'!N336</f>
        <v>1109817.8</v>
      </c>
      <c r="O202" s="39" t="n">
        <f aca="false">E202*'Assumptions &amp; Data'!O336</f>
        <v>319610.2</v>
      </c>
      <c r="P202" s="39" t="n">
        <f aca="false">H202*'Assumptions &amp; Data'!P336</f>
        <v>181169.4589796</v>
      </c>
      <c r="Q202" s="39" t="n">
        <f aca="false">M202-N202-O202-P202</f>
        <v>2014757.148222</v>
      </c>
      <c r="R202" s="39" t="n">
        <f aca="false">'Assumptions &amp; Data'!L336*'Assumptions &amp; Data'!M336</f>
        <v>593880</v>
      </c>
      <c r="S202" s="37" t="n">
        <f aca="false">'Assumptions &amp; Data'!Q336</f>
        <v>364500</v>
      </c>
      <c r="T202" s="37" t="n">
        <f aca="false">'Assumptions &amp; Data'!R336</f>
        <v>177597</v>
      </c>
      <c r="U202" s="37" t="n">
        <f aca="false">'Assumptions &amp; Data'!S336</f>
        <v>125449</v>
      </c>
      <c r="V202" s="39" t="n">
        <f aca="false">Q202-R202-S202-T202-U202</f>
        <v>753331.148221999</v>
      </c>
      <c r="W202" s="39" t="n">
        <f aca="false">DAY(EOMONTH(C202,0))</f>
        <v>30</v>
      </c>
      <c r="X202" s="40" t="n">
        <f aca="false">E202/W202</f>
        <v>1031.33333333333</v>
      </c>
      <c r="Y202" s="39" t="n">
        <f aca="false">R202+S202+T202+U202</f>
        <v>1261426</v>
      </c>
    </row>
    <row r="203" customFormat="false" ht="15" hidden="false" customHeight="false" outlineLevel="0" collapsed="false">
      <c r="A203" s="37" t="str">
        <f aca="false">'Assumptions &amp; Data'!A337</f>
        <v>SM0133</v>
      </c>
      <c r="B203" s="37" t="str">
        <f aca="false">'Assumptions &amp; Data'!B337</f>
        <v>DS012</v>
      </c>
      <c r="C203" s="38" t="n">
        <f aca="false">'Assumptions &amp; Data'!C337</f>
        <v>45931</v>
      </c>
      <c r="D203" s="39" t="str">
        <f aca="false">INDEX('Assumptions &amp; Data'!$B$142:$B$201,MATCH(B203,'Assumptions &amp; Data'!$A$142:$A$201,0))</f>
        <v>Delhi NCR</v>
      </c>
      <c r="E203" s="37" t="n">
        <f aca="false">'Assumptions &amp; Data'!D337</f>
        <v>43222</v>
      </c>
      <c r="F203" s="39" t="n">
        <f aca="false">E203*'Assumptions &amp; Data'!E337</f>
        <v>27346559.4</v>
      </c>
      <c r="G203" s="39" t="n">
        <f aca="false">F203*'Assumptions &amp; Data'!F337</f>
        <v>1298961.5715</v>
      </c>
      <c r="H203" s="39" t="n">
        <f aca="false">F203-G203</f>
        <v>26047597.8285</v>
      </c>
      <c r="I203" s="39" t="n">
        <f aca="false">H203*'Assumptions &amp; Data'!G337</f>
        <v>4448929.7091078</v>
      </c>
      <c r="J203" s="39" t="n">
        <f aca="false">E203*'Assumptions &amp; Data'!H337</f>
        <v>476738.66</v>
      </c>
      <c r="K203" s="39" t="n">
        <f aca="false">H203*'Assumptions &amp; Data'!I337</f>
        <v>830918.37072915</v>
      </c>
      <c r="L203" s="39" t="n">
        <f aca="false">H203*'Assumptions &amp; Data'!J337</f>
        <v>507928.15765575</v>
      </c>
      <c r="M203" s="39" t="n">
        <f aca="false">I203+J203+K203-L203</f>
        <v>5248658.5821812</v>
      </c>
      <c r="N203" s="39" t="n">
        <f aca="false">E203*'Assumptions &amp; Data'!N337</f>
        <v>1564204.18</v>
      </c>
      <c r="O203" s="39" t="n">
        <f aca="false">E203*'Assumptions &amp; Data'!O337</f>
        <v>447779.92</v>
      </c>
      <c r="P203" s="39" t="n">
        <f aca="false">H203*'Assumptions &amp; Data'!P337</f>
        <v>273499.77719925</v>
      </c>
      <c r="Q203" s="39" t="n">
        <f aca="false">M203-N203-O203-P203</f>
        <v>2963174.70498195</v>
      </c>
      <c r="R203" s="39" t="n">
        <f aca="false">'Assumptions &amp; Data'!L337*'Assumptions &amp; Data'!M337</f>
        <v>840000</v>
      </c>
      <c r="S203" s="37" t="n">
        <f aca="false">'Assumptions &amp; Data'!Q337</f>
        <v>476000</v>
      </c>
      <c r="T203" s="37" t="n">
        <f aca="false">'Assumptions &amp; Data'!R337</f>
        <v>156391</v>
      </c>
      <c r="U203" s="37" t="n">
        <f aca="false">'Assumptions &amp; Data'!S337</f>
        <v>194554</v>
      </c>
      <c r="V203" s="39" t="n">
        <f aca="false">Q203-R203-S203-T203-U203</f>
        <v>1296229.70498195</v>
      </c>
      <c r="W203" s="39" t="n">
        <f aca="false">DAY(EOMONTH(C203,0))</f>
        <v>31</v>
      </c>
      <c r="X203" s="40" t="n">
        <f aca="false">E203/W203</f>
        <v>1394.25806451613</v>
      </c>
      <c r="Y203" s="39" t="n">
        <f aca="false">R203+S203+T203+U203</f>
        <v>1666945</v>
      </c>
    </row>
    <row r="204" customFormat="false" ht="15" hidden="false" customHeight="false" outlineLevel="0" collapsed="false">
      <c r="A204" s="37" t="str">
        <f aca="false">'Assumptions &amp; Data'!A338</f>
        <v>SM0134</v>
      </c>
      <c r="B204" s="37" t="str">
        <f aca="false">'Assumptions &amp; Data'!B338</f>
        <v>DS012</v>
      </c>
      <c r="C204" s="38" t="n">
        <f aca="false">'Assumptions &amp; Data'!C338</f>
        <v>45962</v>
      </c>
      <c r="D204" s="39" t="str">
        <f aca="false">INDEX('Assumptions &amp; Data'!$B$142:$B$201,MATCH(B204,'Assumptions &amp; Data'!$A$142:$A$201,0))</f>
        <v>Delhi NCR</v>
      </c>
      <c r="E204" s="37" t="n">
        <f aca="false">'Assumptions &amp; Data'!D338</f>
        <v>45408</v>
      </c>
      <c r="F204" s="39" t="n">
        <f aca="false">E204*'Assumptions &amp; Data'!E338</f>
        <v>29892086.4</v>
      </c>
      <c r="G204" s="39" t="n">
        <f aca="false">F204*'Assumptions &amp; Data'!F338</f>
        <v>1542431.65824</v>
      </c>
      <c r="H204" s="39" t="n">
        <f aca="false">F204-G204</f>
        <v>28349654.74176</v>
      </c>
      <c r="I204" s="39" t="n">
        <f aca="false">H204*'Assumptions &amp; Data'!G338</f>
        <v>4711712.61808051</v>
      </c>
      <c r="J204" s="39" t="n">
        <f aca="false">E204*'Assumptions &amp; Data'!H338</f>
        <v>576227.52</v>
      </c>
      <c r="K204" s="39" t="n">
        <f aca="false">H204*'Assumptions &amp; Data'!I338</f>
        <v>932703.641003904</v>
      </c>
      <c r="L204" s="39" t="n">
        <f aca="false">H204*'Assumptions &amp; Data'!J338</f>
        <v>581167.92220608</v>
      </c>
      <c r="M204" s="39" t="n">
        <f aca="false">I204+J204+K204-L204</f>
        <v>5639475.85687834</v>
      </c>
      <c r="N204" s="39" t="n">
        <f aca="false">E204*'Assumptions &amp; Data'!N338</f>
        <v>1641045.12</v>
      </c>
      <c r="O204" s="39" t="n">
        <f aca="false">E204*'Assumptions &amp; Data'!O338</f>
        <v>471335.04</v>
      </c>
      <c r="P204" s="39" t="n">
        <f aca="false">H204*'Assumptions &amp; Data'!P338</f>
        <v>277826.616469248</v>
      </c>
      <c r="Q204" s="39" t="n">
        <f aca="false">M204-N204-O204-P204</f>
        <v>3249269.08040909</v>
      </c>
      <c r="R204" s="39" t="n">
        <f aca="false">'Assumptions &amp; Data'!L338*'Assumptions &amp; Data'!M338</f>
        <v>861779</v>
      </c>
      <c r="S204" s="37" t="n">
        <f aca="false">'Assumptions &amp; Data'!Q338</f>
        <v>476000</v>
      </c>
      <c r="T204" s="37" t="n">
        <f aca="false">'Assumptions &amp; Data'!R338</f>
        <v>145821</v>
      </c>
      <c r="U204" s="37" t="n">
        <f aca="false">'Assumptions &amp; Data'!S338</f>
        <v>209954</v>
      </c>
      <c r="V204" s="39" t="n">
        <f aca="false">Q204-R204-S204-T204-U204</f>
        <v>1555715.08040909</v>
      </c>
      <c r="W204" s="39" t="n">
        <f aca="false">DAY(EOMONTH(C204,0))</f>
        <v>30</v>
      </c>
      <c r="X204" s="40" t="n">
        <f aca="false">E204/W204</f>
        <v>1513.6</v>
      </c>
      <c r="Y204" s="39" t="n">
        <f aca="false">R204+S204+T204+U204</f>
        <v>1693554</v>
      </c>
    </row>
    <row r="205" customFormat="false" ht="15" hidden="false" customHeight="false" outlineLevel="0" collapsed="false">
      <c r="A205" s="37" t="str">
        <f aca="false">'Assumptions &amp; Data'!A339</f>
        <v>SM0135</v>
      </c>
      <c r="B205" s="37" t="str">
        <f aca="false">'Assumptions &amp; Data'!B339</f>
        <v>DS012</v>
      </c>
      <c r="C205" s="38" t="n">
        <f aca="false">'Assumptions &amp; Data'!C339</f>
        <v>45992</v>
      </c>
      <c r="D205" s="39" t="str">
        <f aca="false">INDEX('Assumptions &amp; Data'!$B$142:$B$201,MATCH(B205,'Assumptions &amp; Data'!$A$142:$A$201,0))</f>
        <v>Delhi NCR</v>
      </c>
      <c r="E205" s="37" t="n">
        <f aca="false">'Assumptions &amp; Data'!D339</f>
        <v>43185</v>
      </c>
      <c r="F205" s="39" t="n">
        <f aca="false">E205*'Assumptions &amp; Data'!E339</f>
        <v>28856217</v>
      </c>
      <c r="G205" s="39" t="n">
        <f aca="false">F205*'Assumptions &amp; Data'!F339</f>
        <v>1520722.6359</v>
      </c>
      <c r="H205" s="39" t="n">
        <f aca="false">F205-G205</f>
        <v>27335494.3641</v>
      </c>
      <c r="I205" s="39" t="n">
        <f aca="false">H205*'Assumptions &amp; Data'!G339</f>
        <v>4622432.09696931</v>
      </c>
      <c r="J205" s="39" t="n">
        <f aca="false">E205*'Assumptions &amp; Data'!H339</f>
        <v>507423.75</v>
      </c>
      <c r="K205" s="39" t="n">
        <f aca="false">H205*'Assumptions &amp; Data'!I339</f>
        <v>893870.66570607</v>
      </c>
      <c r="L205" s="39" t="n">
        <f aca="false">H205*'Assumptions &amp; Data'!J339</f>
        <v>557644.08502764</v>
      </c>
      <c r="M205" s="39" t="n">
        <f aca="false">I205+J205+K205-L205</f>
        <v>5466082.42764774</v>
      </c>
      <c r="N205" s="39" t="n">
        <f aca="false">E205*'Assumptions &amp; Data'!N339</f>
        <v>1560705.9</v>
      </c>
      <c r="O205" s="39" t="n">
        <f aca="false">E205*'Assumptions &amp; Data'!O339</f>
        <v>440055.15</v>
      </c>
      <c r="P205" s="39" t="n">
        <f aca="false">H205*'Assumptions &amp; Data'!P339</f>
        <v>276088.49307741</v>
      </c>
      <c r="Q205" s="39" t="n">
        <f aca="false">M205-N205-O205-P205</f>
        <v>3189232.88457033</v>
      </c>
      <c r="R205" s="39" t="n">
        <f aca="false">'Assumptions &amp; Data'!L339*'Assumptions &amp; Data'!M339</f>
        <v>757368</v>
      </c>
      <c r="S205" s="37" t="n">
        <f aca="false">'Assumptions &amp; Data'!Q339</f>
        <v>476000</v>
      </c>
      <c r="T205" s="37" t="n">
        <f aca="false">'Assumptions &amp; Data'!R339</f>
        <v>140812</v>
      </c>
      <c r="U205" s="37" t="n">
        <f aca="false">'Assumptions &amp; Data'!S339</f>
        <v>202067</v>
      </c>
      <c r="V205" s="39" t="n">
        <f aca="false">Q205-R205-S205-T205-U205</f>
        <v>1612985.88457033</v>
      </c>
      <c r="W205" s="39" t="n">
        <f aca="false">DAY(EOMONTH(C205,0))</f>
        <v>31</v>
      </c>
      <c r="X205" s="40" t="n">
        <f aca="false">E205/W205</f>
        <v>1393.06451612903</v>
      </c>
      <c r="Y205" s="39" t="n">
        <f aca="false">R205+S205+T205+U205</f>
        <v>1576247</v>
      </c>
    </row>
    <row r="206" customFormat="false" ht="15" hidden="false" customHeight="false" outlineLevel="0" collapsed="false">
      <c r="A206" s="37" t="str">
        <f aca="false">'Assumptions &amp; Data'!A340</f>
        <v>SM0136</v>
      </c>
      <c r="B206" s="37" t="str">
        <f aca="false">'Assumptions &amp; Data'!B340</f>
        <v>DS012</v>
      </c>
      <c r="C206" s="38" t="n">
        <f aca="false">'Assumptions &amp; Data'!C340</f>
        <v>46023</v>
      </c>
      <c r="D206" s="39" t="str">
        <f aca="false">INDEX('Assumptions &amp; Data'!$B$142:$B$201,MATCH(B206,'Assumptions &amp; Data'!$A$142:$A$201,0))</f>
        <v>Delhi NCR</v>
      </c>
      <c r="E206" s="37" t="n">
        <f aca="false">'Assumptions &amp; Data'!D340</f>
        <v>41403</v>
      </c>
      <c r="F206" s="39" t="n">
        <f aca="false">E206*'Assumptions &amp; Data'!E340</f>
        <v>26630409.6</v>
      </c>
      <c r="G206" s="39" t="n">
        <f aca="false">F206*'Assumptions &amp; Data'!F340</f>
        <v>1368803.05344</v>
      </c>
      <c r="H206" s="39" t="n">
        <f aca="false">F206-G206</f>
        <v>25261606.54656</v>
      </c>
      <c r="I206" s="39" t="n">
        <f aca="false">H206*'Assumptions &amp; Data'!G340</f>
        <v>4163112.75887309</v>
      </c>
      <c r="J206" s="39" t="n">
        <f aca="false">E206*'Assumptions &amp; Data'!H340</f>
        <v>499320.18</v>
      </c>
      <c r="K206" s="39" t="n">
        <f aca="false">H206*'Assumptions &amp; Data'!I340</f>
        <v>861420.783237696</v>
      </c>
      <c r="L206" s="39" t="n">
        <f aca="false">H206*'Assumptions &amp; Data'!J340</f>
        <v>497653.648967232</v>
      </c>
      <c r="M206" s="39" t="n">
        <f aca="false">I206+J206+K206-L206</f>
        <v>5026200.07314355</v>
      </c>
      <c r="N206" s="39" t="n">
        <f aca="false">E206*'Assumptions &amp; Data'!N340</f>
        <v>1522802.34</v>
      </c>
      <c r="O206" s="39" t="n">
        <f aca="false">E206*'Assumptions &amp; Data'!O340</f>
        <v>428521.05</v>
      </c>
      <c r="P206" s="39" t="n">
        <f aca="false">H206*'Assumptions &amp; Data'!P340</f>
        <v>257668.386774912</v>
      </c>
      <c r="Q206" s="39" t="n">
        <f aca="false">M206-N206-O206-P206</f>
        <v>2817208.29636864</v>
      </c>
      <c r="R206" s="39" t="n">
        <f aca="false">'Assumptions &amp; Data'!L340*'Assumptions &amp; Data'!M340</f>
        <v>758052</v>
      </c>
      <c r="S206" s="37" t="n">
        <f aca="false">'Assumptions &amp; Data'!Q340</f>
        <v>476000</v>
      </c>
      <c r="T206" s="37" t="n">
        <f aca="false">'Assumptions &amp; Data'!R340</f>
        <v>144588</v>
      </c>
      <c r="U206" s="37" t="n">
        <f aca="false">'Assumptions &amp; Data'!S340</f>
        <v>195651</v>
      </c>
      <c r="V206" s="39" t="n">
        <f aca="false">Q206-R206-S206-T206-U206</f>
        <v>1242917.29636864</v>
      </c>
      <c r="W206" s="39" t="n">
        <f aca="false">DAY(EOMONTH(C206,0))</f>
        <v>31</v>
      </c>
      <c r="X206" s="40" t="n">
        <f aca="false">E206/W206</f>
        <v>1335.58064516129</v>
      </c>
      <c r="Y206" s="39" t="n">
        <f aca="false">R206+S206+T206+U206</f>
        <v>1574291</v>
      </c>
    </row>
    <row r="207" customFormat="false" ht="15" hidden="false" customHeight="false" outlineLevel="0" collapsed="false">
      <c r="A207" s="37" t="str">
        <f aca="false">'Assumptions &amp; Data'!A341</f>
        <v>SM0137</v>
      </c>
      <c r="B207" s="37" t="str">
        <f aca="false">'Assumptions &amp; Data'!B341</f>
        <v>DS012</v>
      </c>
      <c r="C207" s="38" t="n">
        <f aca="false">'Assumptions &amp; Data'!C341</f>
        <v>46054</v>
      </c>
      <c r="D207" s="39" t="str">
        <f aca="false">INDEX('Assumptions &amp; Data'!$B$142:$B$201,MATCH(B207,'Assumptions &amp; Data'!$A$142:$A$201,0))</f>
        <v>Delhi NCR</v>
      </c>
      <c r="E207" s="37" t="n">
        <f aca="false">'Assumptions &amp; Data'!D341</f>
        <v>34765</v>
      </c>
      <c r="F207" s="39" t="n">
        <f aca="false">E207*'Assumptions &amp; Data'!E341</f>
        <v>22458190</v>
      </c>
      <c r="G207" s="39" t="n">
        <f aca="false">F207*'Assumptions &amp; Data'!F341</f>
        <v>1214988.079</v>
      </c>
      <c r="H207" s="39" t="n">
        <f aca="false">F207-G207</f>
        <v>21243201.921</v>
      </c>
      <c r="I207" s="39" t="n">
        <f aca="false">H207*'Assumptions &amp; Data'!G341</f>
        <v>3447771.6717783</v>
      </c>
      <c r="J207" s="39" t="n">
        <f aca="false">E207*'Assumptions &amp; Data'!H341</f>
        <v>406750.5</v>
      </c>
      <c r="K207" s="39" t="n">
        <f aca="false">H207*'Assumptions &amp; Data'!I341</f>
        <v>654290.6191668</v>
      </c>
      <c r="L207" s="39" t="n">
        <f aca="false">H207*'Assumptions &amp; Data'!J341</f>
        <v>435485.6393805</v>
      </c>
      <c r="M207" s="39" t="n">
        <f aca="false">I207+J207+K207-L207</f>
        <v>4073327.1515646</v>
      </c>
      <c r="N207" s="39" t="n">
        <f aca="false">E207*'Assumptions &amp; Data'!N341</f>
        <v>1248411.15</v>
      </c>
      <c r="O207" s="39" t="n">
        <f aca="false">E207*'Assumptions &amp; Data'!O341</f>
        <v>357731.85</v>
      </c>
      <c r="P207" s="39" t="n">
        <f aca="false">H207*'Assumptions &amp; Data'!P341</f>
        <v>218804.9797863</v>
      </c>
      <c r="Q207" s="39" t="n">
        <f aca="false">M207-N207-O207-P207</f>
        <v>2248379.1717783</v>
      </c>
      <c r="R207" s="39" t="n">
        <f aca="false">'Assumptions &amp; Data'!L341*'Assumptions &amp; Data'!M341</f>
        <v>695508</v>
      </c>
      <c r="S207" s="37" t="n">
        <f aca="false">'Assumptions &amp; Data'!Q341</f>
        <v>476000</v>
      </c>
      <c r="T207" s="37" t="n">
        <f aca="false">'Assumptions &amp; Data'!R341</f>
        <v>156892</v>
      </c>
      <c r="U207" s="37" t="n">
        <f aca="false">'Assumptions &amp; Data'!S341</f>
        <v>168674</v>
      </c>
      <c r="V207" s="39" t="n">
        <f aca="false">Q207-R207-S207-T207-U207</f>
        <v>751305.171778299</v>
      </c>
      <c r="W207" s="39" t="n">
        <f aca="false">DAY(EOMONTH(C207,0))</f>
        <v>28</v>
      </c>
      <c r="X207" s="40" t="n">
        <f aca="false">E207/W207</f>
        <v>1241.60714285714</v>
      </c>
      <c r="Y207" s="39" t="n">
        <f aca="false">R207+S207+T207+U207</f>
        <v>1497074</v>
      </c>
    </row>
    <row r="208" customFormat="false" ht="15" hidden="false" customHeight="false" outlineLevel="0" collapsed="false">
      <c r="A208" s="37" t="str">
        <f aca="false">'Assumptions &amp; Data'!A342</f>
        <v>SM0138</v>
      </c>
      <c r="B208" s="37" t="str">
        <f aca="false">'Assumptions &amp; Data'!B342</f>
        <v>DS012</v>
      </c>
      <c r="C208" s="38" t="n">
        <f aca="false">'Assumptions &amp; Data'!C342</f>
        <v>46082</v>
      </c>
      <c r="D208" s="39" t="str">
        <f aca="false">INDEX('Assumptions &amp; Data'!$B$142:$B$201,MATCH(B208,'Assumptions &amp; Data'!$A$142:$A$201,0))</f>
        <v>Delhi NCR</v>
      </c>
      <c r="E208" s="37" t="n">
        <f aca="false">'Assumptions &amp; Data'!D342</f>
        <v>44964</v>
      </c>
      <c r="F208" s="39" t="n">
        <f aca="false">E208*'Assumptions &amp; Data'!E342</f>
        <v>29500880.4</v>
      </c>
      <c r="G208" s="39" t="n">
        <f aca="false">F208*'Assumptions &amp; Data'!F342</f>
        <v>1610748.06984</v>
      </c>
      <c r="H208" s="39" t="n">
        <f aca="false">F208-G208</f>
        <v>27890132.33016</v>
      </c>
      <c r="I208" s="39" t="n">
        <f aca="false">H208*'Assumptions &amp; Data'!G342</f>
        <v>4668808.15206878</v>
      </c>
      <c r="J208" s="39" t="n">
        <f aca="false">E208*'Assumptions &amp; Data'!H342</f>
        <v>507643.56</v>
      </c>
      <c r="K208" s="39" t="n">
        <f aca="false">H208*'Assumptions &amp; Data'!I342</f>
        <v>970576.605089568</v>
      </c>
      <c r="L208" s="39" t="n">
        <f aca="false">H208*'Assumptions &amp; Data'!J342</f>
        <v>577325.739234312</v>
      </c>
      <c r="M208" s="39" t="n">
        <f aca="false">I208+J208+K208-L208</f>
        <v>5569702.57792404</v>
      </c>
      <c r="N208" s="39" t="n">
        <f aca="false">E208*'Assumptions &amp; Data'!N342</f>
        <v>1651527.72</v>
      </c>
      <c r="O208" s="39" t="n">
        <f aca="false">E208*'Assumptions &amp; Data'!O342</f>
        <v>466276.68</v>
      </c>
      <c r="P208" s="39" t="n">
        <f aca="false">H208*'Assumptions &amp; Data'!P342</f>
        <v>270534.283602552</v>
      </c>
      <c r="Q208" s="39" t="n">
        <f aca="false">M208-N208-O208-P208</f>
        <v>3181363.89432149</v>
      </c>
      <c r="R208" s="39" t="n">
        <f aca="false">'Assumptions &amp; Data'!L342*'Assumptions &amp; Data'!M342</f>
        <v>801610</v>
      </c>
      <c r="S208" s="37" t="n">
        <f aca="false">'Assumptions &amp; Data'!Q342</f>
        <v>476000</v>
      </c>
      <c r="T208" s="37" t="n">
        <f aca="false">'Assumptions &amp; Data'!R342</f>
        <v>147712</v>
      </c>
      <c r="U208" s="37" t="n">
        <f aca="false">'Assumptions &amp; Data'!S342</f>
        <v>213259</v>
      </c>
      <c r="V208" s="39" t="n">
        <f aca="false">Q208-R208-S208-T208-U208</f>
        <v>1542782.89432149</v>
      </c>
      <c r="W208" s="39" t="n">
        <f aca="false">DAY(EOMONTH(C208,0))</f>
        <v>31</v>
      </c>
      <c r="X208" s="40" t="n">
        <f aca="false">E208/W208</f>
        <v>1450.45161290323</v>
      </c>
      <c r="Y208" s="39" t="n">
        <f aca="false">R208+S208+T208+U208</f>
        <v>1638581</v>
      </c>
    </row>
    <row r="209" customFormat="false" ht="15" hidden="false" customHeight="false" outlineLevel="0" collapsed="false">
      <c r="A209" s="37" t="str">
        <f aca="false">'Assumptions &amp; Data'!A343</f>
        <v>SM0139</v>
      </c>
      <c r="B209" s="37" t="str">
        <f aca="false">'Assumptions &amp; Data'!B343</f>
        <v>DS012</v>
      </c>
      <c r="C209" s="38" t="n">
        <f aca="false">'Assumptions &amp; Data'!C343</f>
        <v>46113</v>
      </c>
      <c r="D209" s="39" t="str">
        <f aca="false">INDEX('Assumptions &amp; Data'!$B$142:$B$201,MATCH(B209,'Assumptions &amp; Data'!$A$142:$A$201,0))</f>
        <v>Delhi NCR</v>
      </c>
      <c r="E209" s="37" t="n">
        <f aca="false">'Assumptions &amp; Data'!D343</f>
        <v>41380</v>
      </c>
      <c r="F209" s="39" t="n">
        <f aca="false">E209*'Assumptions &amp; Data'!E343</f>
        <v>27517700</v>
      </c>
      <c r="G209" s="39" t="n">
        <f aca="false">F209*'Assumptions &amp; Data'!F343</f>
        <v>1428168.63</v>
      </c>
      <c r="H209" s="39" t="n">
        <f aca="false">F209-G209</f>
        <v>26089531.37</v>
      </c>
      <c r="I209" s="39" t="n">
        <f aca="false">H209*'Assumptions &amp; Data'!G343</f>
        <v>4393477.082708</v>
      </c>
      <c r="J209" s="39" t="n">
        <f aca="false">E209*'Assumptions &amp; Data'!H343</f>
        <v>500698</v>
      </c>
      <c r="K209" s="39" t="n">
        <f aca="false">H209*'Assumptions &amp; Data'!I343</f>
        <v>816602.331881</v>
      </c>
      <c r="L209" s="39" t="n">
        <f aca="false">H209*'Assumptions &amp; Data'!J343</f>
        <v>503527.955441</v>
      </c>
      <c r="M209" s="39" t="n">
        <f aca="false">I209+J209+K209-L209</f>
        <v>5207249.459148</v>
      </c>
      <c r="N209" s="39" t="n">
        <f aca="false">E209*'Assumptions &amp; Data'!N343</f>
        <v>1514094.2</v>
      </c>
      <c r="O209" s="39" t="n">
        <f aca="false">E209*'Assumptions &amp; Data'!O343</f>
        <v>441524.6</v>
      </c>
      <c r="P209" s="39" t="n">
        <f aca="false">H209*'Assumptions &amp; Data'!P343</f>
        <v>255677.407426</v>
      </c>
      <c r="Q209" s="39" t="n">
        <f aca="false">M209-N209-O209-P209</f>
        <v>2995953.251722</v>
      </c>
      <c r="R209" s="39" t="n">
        <f aca="false">'Assumptions &amp; Data'!L343*'Assumptions &amp; Data'!M343</f>
        <v>781255</v>
      </c>
      <c r="S209" s="37" t="n">
        <f aca="false">'Assumptions &amp; Data'!Q343</f>
        <v>476000</v>
      </c>
      <c r="T209" s="37" t="n">
        <f aca="false">'Assumptions &amp; Data'!R343</f>
        <v>156719</v>
      </c>
      <c r="U209" s="37" t="n">
        <f aca="false">'Assumptions &amp; Data'!S343</f>
        <v>197413</v>
      </c>
      <c r="V209" s="39" t="n">
        <f aca="false">Q209-R209-S209-T209-U209</f>
        <v>1384566.251722</v>
      </c>
      <c r="W209" s="39" t="n">
        <f aca="false">DAY(EOMONTH(C209,0))</f>
        <v>30</v>
      </c>
      <c r="X209" s="40" t="n">
        <f aca="false">E209/W209</f>
        <v>1379.33333333333</v>
      </c>
      <c r="Y209" s="39" t="n">
        <f aca="false">R209+S209+T209+U209</f>
        <v>1611387</v>
      </c>
    </row>
    <row r="210" customFormat="false" ht="15" hidden="false" customHeight="false" outlineLevel="0" collapsed="false">
      <c r="A210" s="37" t="str">
        <f aca="false">'Assumptions &amp; Data'!A344</f>
        <v>SM0140</v>
      </c>
      <c r="B210" s="37" t="str">
        <f aca="false">'Assumptions &amp; Data'!B344</f>
        <v>DS012</v>
      </c>
      <c r="C210" s="38" t="n">
        <f aca="false">'Assumptions &amp; Data'!C344</f>
        <v>46143</v>
      </c>
      <c r="D210" s="39" t="str">
        <f aca="false">INDEX('Assumptions &amp; Data'!$B$142:$B$201,MATCH(B210,'Assumptions &amp; Data'!$A$142:$A$201,0))</f>
        <v>Delhi NCR</v>
      </c>
      <c r="E210" s="37" t="n">
        <f aca="false">'Assumptions &amp; Data'!D344</f>
        <v>48441</v>
      </c>
      <c r="F210" s="39" t="n">
        <f aca="false">E210*'Assumptions &amp; Data'!E344</f>
        <v>31985592.3</v>
      </c>
      <c r="G210" s="39" t="n">
        <f aca="false">F210*'Assumptions &amp; Data'!F344</f>
        <v>1682442.15498</v>
      </c>
      <c r="H210" s="39" t="n">
        <f aca="false">F210-G210</f>
        <v>30303150.14502</v>
      </c>
      <c r="I210" s="39" t="n">
        <f aca="false">H210*'Assumptions &amp; Data'!G344</f>
        <v>5148505.2096389</v>
      </c>
      <c r="J210" s="39" t="n">
        <f aca="false">E210*'Assumptions &amp; Data'!H344</f>
        <v>566275.29</v>
      </c>
      <c r="K210" s="39" t="n">
        <f aca="false">H210*'Assumptions &amp; Data'!I344</f>
        <v>954549.22956813</v>
      </c>
      <c r="L210" s="39" t="n">
        <f aca="false">H210*'Assumptions &amp; Data'!J344</f>
        <v>645457.098088926</v>
      </c>
      <c r="M210" s="39" t="n">
        <f aca="false">I210+J210+K210-L210</f>
        <v>6023872.6311181</v>
      </c>
      <c r="N210" s="39" t="n">
        <f aca="false">E210*'Assumptions &amp; Data'!N344</f>
        <v>1720139.91</v>
      </c>
      <c r="O210" s="39" t="n">
        <f aca="false">E210*'Assumptions &amp; Data'!O344</f>
        <v>500395.53</v>
      </c>
      <c r="P210" s="39" t="n">
        <f aca="false">H210*'Assumptions &amp; Data'!P344</f>
        <v>306061.816464702</v>
      </c>
      <c r="Q210" s="39" t="n">
        <f aca="false">M210-N210-O210-P210</f>
        <v>3497275.3746534</v>
      </c>
      <c r="R210" s="39" t="n">
        <f aca="false">'Assumptions &amp; Data'!L344*'Assumptions &amp; Data'!M344</f>
        <v>887628</v>
      </c>
      <c r="S210" s="37" t="n">
        <f aca="false">'Assumptions &amp; Data'!Q344</f>
        <v>476000</v>
      </c>
      <c r="T210" s="37" t="n">
        <f aca="false">'Assumptions &amp; Data'!R344</f>
        <v>156860</v>
      </c>
      <c r="U210" s="37" t="n">
        <f aca="false">'Assumptions &amp; Data'!S344</f>
        <v>229763</v>
      </c>
      <c r="V210" s="39" t="n">
        <f aca="false">Q210-R210-S210-T210-U210</f>
        <v>1747024.3746534</v>
      </c>
      <c r="W210" s="39" t="n">
        <f aca="false">DAY(EOMONTH(C210,0))</f>
        <v>31</v>
      </c>
      <c r="X210" s="40" t="n">
        <f aca="false">E210/W210</f>
        <v>1562.61290322581</v>
      </c>
      <c r="Y210" s="39" t="n">
        <f aca="false">R210+S210+T210+U210</f>
        <v>1750251</v>
      </c>
    </row>
    <row r="211" customFormat="false" ht="15" hidden="false" customHeight="false" outlineLevel="0" collapsed="false">
      <c r="A211" s="37" t="str">
        <f aca="false">'Assumptions &amp; Data'!A345</f>
        <v>SM0141</v>
      </c>
      <c r="B211" s="37" t="str">
        <f aca="false">'Assumptions &amp; Data'!B345</f>
        <v>DS012</v>
      </c>
      <c r="C211" s="38" t="n">
        <f aca="false">'Assumptions &amp; Data'!C345</f>
        <v>46174</v>
      </c>
      <c r="D211" s="39" t="str">
        <f aca="false">INDEX('Assumptions &amp; Data'!$B$142:$B$201,MATCH(B211,'Assumptions &amp; Data'!$A$142:$A$201,0))</f>
        <v>Delhi NCR</v>
      </c>
      <c r="E211" s="37" t="n">
        <f aca="false">'Assumptions &amp; Data'!D345</f>
        <v>45495</v>
      </c>
      <c r="F211" s="39" t="n">
        <f aca="false">E211*'Assumptions &amp; Data'!E345</f>
        <v>29981205</v>
      </c>
      <c r="G211" s="39" t="n">
        <f aca="false">F211*'Assumptions &amp; Data'!F345</f>
        <v>1547030.178</v>
      </c>
      <c r="H211" s="39" t="n">
        <f aca="false">F211-G211</f>
        <v>28434174.822</v>
      </c>
      <c r="I211" s="39" t="n">
        <f aca="false">H211*'Assumptions &amp; Data'!G345</f>
        <v>4728603.2728986</v>
      </c>
      <c r="J211" s="39" t="n">
        <f aca="false">E211*'Assumptions &amp; Data'!H345</f>
        <v>541390.5</v>
      </c>
      <c r="K211" s="39" t="n">
        <f aca="false">H211*'Assumptions &amp; Data'!I345</f>
        <v>915580.4292684</v>
      </c>
      <c r="L211" s="39" t="n">
        <f aca="false">H211*'Assumptions &amp; Data'!J345</f>
        <v>585744.0013332</v>
      </c>
      <c r="M211" s="39" t="n">
        <f aca="false">I211+J211+K211-L211</f>
        <v>5599830.2008338</v>
      </c>
      <c r="N211" s="39" t="n">
        <f aca="false">E211*'Assumptions &amp; Data'!N345</f>
        <v>1609613.1</v>
      </c>
      <c r="O211" s="39" t="n">
        <f aca="false">E211*'Assumptions &amp; Data'!O345</f>
        <v>466778.7</v>
      </c>
      <c r="P211" s="39" t="n">
        <f aca="false">H211*'Assumptions &amp; Data'!P345</f>
        <v>290028.5831844</v>
      </c>
      <c r="Q211" s="39" t="n">
        <f aca="false">M211-N211-O211-P211</f>
        <v>3233409.8176494</v>
      </c>
      <c r="R211" s="39" t="n">
        <f aca="false">'Assumptions &amp; Data'!L345*'Assumptions &amp; Data'!M345</f>
        <v>846120</v>
      </c>
      <c r="S211" s="37" t="n">
        <f aca="false">'Assumptions &amp; Data'!Q345</f>
        <v>476000</v>
      </c>
      <c r="T211" s="37" t="n">
        <f aca="false">'Assumptions &amp; Data'!R345</f>
        <v>147692</v>
      </c>
      <c r="U211" s="37" t="n">
        <f aca="false">'Assumptions &amp; Data'!S345</f>
        <v>195367</v>
      </c>
      <c r="V211" s="39" t="n">
        <f aca="false">Q211-R211-S211-T211-U211</f>
        <v>1568230.8176494</v>
      </c>
      <c r="W211" s="39" t="n">
        <f aca="false">DAY(EOMONTH(C211,0))</f>
        <v>30</v>
      </c>
      <c r="X211" s="40" t="n">
        <f aca="false">E211/W211</f>
        <v>1516.5</v>
      </c>
      <c r="Y211" s="39" t="n">
        <f aca="false">R211+S211+T211+U211</f>
        <v>1665179</v>
      </c>
    </row>
    <row r="212" customFormat="false" ht="15" hidden="false" customHeight="false" outlineLevel="0" collapsed="false">
      <c r="A212" s="37" t="str">
        <f aca="false">'Assumptions &amp; Data'!A346</f>
        <v>SM0142</v>
      </c>
      <c r="B212" s="37" t="str">
        <f aca="false">'Assumptions &amp; Data'!B346</f>
        <v>DS012</v>
      </c>
      <c r="C212" s="38" t="n">
        <f aca="false">'Assumptions &amp; Data'!C346</f>
        <v>46204</v>
      </c>
      <c r="D212" s="39" t="str">
        <f aca="false">INDEX('Assumptions &amp; Data'!$B$142:$B$201,MATCH(B212,'Assumptions &amp; Data'!$A$142:$A$201,0))</f>
        <v>Delhi NCR</v>
      </c>
      <c r="E212" s="37" t="n">
        <f aca="false">'Assumptions &amp; Data'!D346</f>
        <v>41931</v>
      </c>
      <c r="F212" s="39" t="n">
        <f aca="false">E212*'Assumptions &amp; Data'!E346</f>
        <v>27624142.8</v>
      </c>
      <c r="G212" s="39" t="n">
        <f aca="false">F212*'Assumptions &amp; Data'!F346</f>
        <v>1453029.91128</v>
      </c>
      <c r="H212" s="39" t="n">
        <f aca="false">F212-G212</f>
        <v>26171112.88872</v>
      </c>
      <c r="I212" s="39" t="n">
        <f aca="false">H212*'Assumptions &amp; Data'!G346</f>
        <v>4404598.29917158</v>
      </c>
      <c r="J212" s="39" t="n">
        <f aca="false">E212*'Assumptions &amp; Data'!H346</f>
        <v>503172</v>
      </c>
      <c r="K212" s="39" t="n">
        <f aca="false">H212*'Assumptions &amp; Data'!I346</f>
        <v>881966.504349864</v>
      </c>
      <c r="L212" s="39" t="n">
        <f aca="false">H212*'Assumptions &amp; Data'!J346</f>
        <v>512953.812618912</v>
      </c>
      <c r="M212" s="39" t="n">
        <f aca="false">I212+J212+K212-L212</f>
        <v>5276782.99090253</v>
      </c>
      <c r="N212" s="39" t="n">
        <f aca="false">E212*'Assumptions &amp; Data'!N346</f>
        <v>1507419.45</v>
      </c>
      <c r="O212" s="39" t="n">
        <f aca="false">E212*'Assumptions &amp; Data'!O346</f>
        <v>431889.3</v>
      </c>
      <c r="P212" s="39" t="n">
        <f aca="false">H212*'Assumptions &amp; Data'!P346</f>
        <v>272179.574042688</v>
      </c>
      <c r="Q212" s="39" t="n">
        <f aca="false">M212-N212-O212-P212</f>
        <v>3065294.66685984</v>
      </c>
      <c r="R212" s="39" t="n">
        <f aca="false">'Assumptions &amp; Data'!L346*'Assumptions &amp; Data'!M346</f>
        <v>783364</v>
      </c>
      <c r="S212" s="37" t="n">
        <f aca="false">'Assumptions &amp; Data'!Q346</f>
        <v>476000</v>
      </c>
      <c r="T212" s="37" t="n">
        <f aca="false">'Assumptions &amp; Data'!R346</f>
        <v>142566</v>
      </c>
      <c r="U212" s="37" t="n">
        <f aca="false">'Assumptions &amp; Data'!S346</f>
        <v>216518</v>
      </c>
      <c r="V212" s="39" t="n">
        <f aca="false">Q212-R212-S212-T212-U212</f>
        <v>1446846.66685984</v>
      </c>
      <c r="W212" s="39" t="n">
        <f aca="false">DAY(EOMONTH(C212,0))</f>
        <v>31</v>
      </c>
      <c r="X212" s="40" t="n">
        <f aca="false">E212/W212</f>
        <v>1352.61290322581</v>
      </c>
      <c r="Y212" s="39" t="n">
        <f aca="false">R212+S212+T212+U212</f>
        <v>1618448</v>
      </c>
    </row>
    <row r="213" customFormat="false" ht="15" hidden="false" customHeight="false" outlineLevel="0" collapsed="false">
      <c r="A213" s="37" t="str">
        <f aca="false">'Assumptions &amp; Data'!A347</f>
        <v>SM0143</v>
      </c>
      <c r="B213" s="37" t="str">
        <f aca="false">'Assumptions &amp; Data'!B347</f>
        <v>DS012</v>
      </c>
      <c r="C213" s="38" t="n">
        <f aca="false">'Assumptions &amp; Data'!C347</f>
        <v>46235</v>
      </c>
      <c r="D213" s="39" t="str">
        <f aca="false">INDEX('Assumptions &amp; Data'!$B$142:$B$201,MATCH(B213,'Assumptions &amp; Data'!$A$142:$A$201,0))</f>
        <v>Delhi NCR</v>
      </c>
      <c r="E213" s="37" t="n">
        <f aca="false">'Assumptions &amp; Data'!D347</f>
        <v>46280</v>
      </c>
      <c r="F213" s="39" t="n">
        <f aca="false">E213*'Assumptions &amp; Data'!E347</f>
        <v>31002972</v>
      </c>
      <c r="G213" s="39" t="n">
        <f aca="false">F213*'Assumptions &amp; Data'!F347</f>
        <v>1618355.1384</v>
      </c>
      <c r="H213" s="39" t="n">
        <f aca="false">F213-G213</f>
        <v>29384616.8616</v>
      </c>
      <c r="I213" s="39" t="n">
        <f aca="false">H213*'Assumptions &amp; Data'!G347</f>
        <v>4907231.0158872</v>
      </c>
      <c r="J213" s="39" t="n">
        <f aca="false">E213*'Assumptions &amp; Data'!H347</f>
        <v>566467.2</v>
      </c>
      <c r="K213" s="39" t="n">
        <f aca="false">H213*'Assumptions &amp; Data'!I347</f>
        <v>978507.74149128</v>
      </c>
      <c r="L213" s="39" t="n">
        <f aca="false">H213*'Assumptions &amp; Data'!J347</f>
        <v>605323.10734896</v>
      </c>
      <c r="M213" s="39" t="n">
        <f aca="false">I213+J213+K213-L213</f>
        <v>5846882.85002952</v>
      </c>
      <c r="N213" s="39" t="n">
        <f aca="false">E213*'Assumptions &amp; Data'!N347</f>
        <v>1686906</v>
      </c>
      <c r="O213" s="39" t="n">
        <f aca="false">E213*'Assumptions &amp; Data'!O347</f>
        <v>467890.8</v>
      </c>
      <c r="P213" s="39" t="n">
        <f aca="false">H213*'Assumptions &amp; Data'!P347</f>
        <v>279153.8601852</v>
      </c>
      <c r="Q213" s="39" t="n">
        <f aca="false">M213-N213-O213-P213</f>
        <v>3412932.18984432</v>
      </c>
      <c r="R213" s="39" t="n">
        <f aca="false">'Assumptions &amp; Data'!L347*'Assumptions &amp; Data'!M347</f>
        <v>847640</v>
      </c>
      <c r="S213" s="37" t="n">
        <f aca="false">'Assumptions &amp; Data'!Q347</f>
        <v>476000</v>
      </c>
      <c r="T213" s="37" t="n">
        <f aca="false">'Assumptions &amp; Data'!R347</f>
        <v>148004</v>
      </c>
      <c r="U213" s="37" t="n">
        <f aca="false">'Assumptions &amp; Data'!S347</f>
        <v>210551</v>
      </c>
      <c r="V213" s="39" t="n">
        <f aca="false">Q213-R213-S213-T213-U213</f>
        <v>1730737.18984432</v>
      </c>
      <c r="W213" s="39" t="n">
        <f aca="false">DAY(EOMONTH(C213,0))</f>
        <v>31</v>
      </c>
      <c r="X213" s="40" t="n">
        <f aca="false">E213/W213</f>
        <v>1492.90322580645</v>
      </c>
      <c r="Y213" s="39" t="n">
        <f aca="false">R213+S213+T213+U213</f>
        <v>1682195</v>
      </c>
    </row>
    <row r="214" customFormat="false" ht="15" hidden="false" customHeight="false" outlineLevel="0" collapsed="false">
      <c r="A214" s="37" t="str">
        <f aca="false">'Assumptions &amp; Data'!A348</f>
        <v>SM0144</v>
      </c>
      <c r="B214" s="37" t="str">
        <f aca="false">'Assumptions &amp; Data'!B348</f>
        <v>DS012</v>
      </c>
      <c r="C214" s="38" t="n">
        <f aca="false">'Assumptions &amp; Data'!C348</f>
        <v>46266</v>
      </c>
      <c r="D214" s="39" t="str">
        <f aca="false">INDEX('Assumptions &amp; Data'!$B$142:$B$201,MATCH(B214,'Assumptions &amp; Data'!$A$142:$A$201,0))</f>
        <v>Delhi NCR</v>
      </c>
      <c r="E214" s="37" t="n">
        <f aca="false">'Assumptions &amp; Data'!D348</f>
        <v>42330</v>
      </c>
      <c r="F214" s="39" t="n">
        <f aca="false">E214*'Assumptions &amp; Data'!E348</f>
        <v>27726150</v>
      </c>
      <c r="G214" s="39" t="n">
        <f aca="false">F214*'Assumptions &amp; Data'!F348</f>
        <v>1524938.25</v>
      </c>
      <c r="H214" s="39" t="n">
        <f aca="false">F214-G214</f>
        <v>26201211.75</v>
      </c>
      <c r="I214" s="39" t="n">
        <f aca="false">H214*'Assumptions &amp; Data'!G348</f>
        <v>4375602.36225</v>
      </c>
      <c r="J214" s="39" t="n">
        <f aca="false">E214*'Assumptions &amp; Data'!H348</f>
        <v>487218.3</v>
      </c>
      <c r="K214" s="39" t="n">
        <f aca="false">H214*'Assumptions &amp; Data'!I348</f>
        <v>875120.47245</v>
      </c>
      <c r="L214" s="39" t="n">
        <f aca="false">H214*'Assumptions &amp; Data'!J348</f>
        <v>544985.2044</v>
      </c>
      <c r="M214" s="39" t="n">
        <f aca="false">I214+J214+K214-L214</f>
        <v>5192955.9303</v>
      </c>
      <c r="N214" s="39" t="n">
        <f aca="false">E214*'Assumptions &amp; Data'!N348</f>
        <v>1536155.7</v>
      </c>
      <c r="O214" s="39" t="n">
        <f aca="false">E214*'Assumptions &amp; Data'!O348</f>
        <v>452507.7</v>
      </c>
      <c r="P214" s="39" t="n">
        <f aca="false">H214*'Assumptions &amp; Data'!P348</f>
        <v>251531.6328</v>
      </c>
      <c r="Q214" s="39" t="n">
        <f aca="false">M214-N214-O214-P214</f>
        <v>2952760.8975</v>
      </c>
      <c r="R214" s="39" t="n">
        <f aca="false">'Assumptions &amp; Data'!L348*'Assumptions &amp; Data'!M348</f>
        <v>805980</v>
      </c>
      <c r="S214" s="37" t="n">
        <f aca="false">'Assumptions &amp; Data'!Q348</f>
        <v>476000</v>
      </c>
      <c r="T214" s="37" t="n">
        <f aca="false">'Assumptions &amp; Data'!R348</f>
        <v>147727</v>
      </c>
      <c r="U214" s="37" t="n">
        <f aca="false">'Assumptions &amp; Data'!S348</f>
        <v>222052</v>
      </c>
      <c r="V214" s="39" t="n">
        <f aca="false">Q214-R214-S214-T214-U214</f>
        <v>1301001.8975</v>
      </c>
      <c r="W214" s="39" t="n">
        <f aca="false">DAY(EOMONTH(C214,0))</f>
        <v>30</v>
      </c>
      <c r="X214" s="40" t="n">
        <f aca="false">E214/W214</f>
        <v>1411</v>
      </c>
      <c r="Y214" s="39" t="n">
        <f aca="false">R214+S214+T214+U214</f>
        <v>1651759</v>
      </c>
    </row>
    <row r="215" customFormat="false" ht="15" hidden="false" customHeight="false" outlineLevel="0" collapsed="false">
      <c r="A215" s="37" t="str">
        <f aca="false">'Assumptions &amp; Data'!A349</f>
        <v>SM0145</v>
      </c>
      <c r="B215" s="37" t="str">
        <f aca="false">'Assumptions &amp; Data'!B349</f>
        <v>DS013</v>
      </c>
      <c r="C215" s="38" t="n">
        <f aca="false">'Assumptions &amp; Data'!C349</f>
        <v>45931</v>
      </c>
      <c r="D215" s="39" t="str">
        <f aca="false">INDEX('Assumptions &amp; Data'!$B$142:$B$201,MATCH(B215,'Assumptions &amp; Data'!$A$142:$A$201,0))</f>
        <v>Delhi NCR</v>
      </c>
      <c r="E215" s="37" t="n">
        <f aca="false">'Assumptions &amp; Data'!D349</f>
        <v>14584</v>
      </c>
      <c r="F215" s="39" t="n">
        <f aca="false">E215*'Assumptions &amp; Data'!E349</f>
        <v>8711023.2</v>
      </c>
      <c r="G215" s="39" t="n">
        <f aca="false">F215*'Assumptions &amp; Data'!F349</f>
        <v>583638.5544</v>
      </c>
      <c r="H215" s="39" t="n">
        <f aca="false">F215-G215</f>
        <v>8127384.6456</v>
      </c>
      <c r="I215" s="39" t="n">
        <f aca="false">H215*'Assumptions &amp; Data'!G349</f>
        <v>1416603.14372808</v>
      </c>
      <c r="J215" s="39" t="n">
        <f aca="false">E215*'Assumptions &amp; Data'!H349</f>
        <v>195279.76</v>
      </c>
      <c r="K215" s="39" t="n">
        <f aca="false">H215*'Assumptions &amp; Data'!I349</f>
        <v>174738.7698804</v>
      </c>
      <c r="L215" s="39" t="n">
        <f aca="false">H215*'Assumptions &amp; Data'!J349</f>
        <v>189368.06224248</v>
      </c>
      <c r="M215" s="39" t="n">
        <f aca="false">I215+J215+K215-L215</f>
        <v>1597253.611366</v>
      </c>
      <c r="N215" s="39" t="n">
        <f aca="false">E215*'Assumptions &amp; Data'!N349</f>
        <v>636737.44</v>
      </c>
      <c r="O215" s="39" t="n">
        <f aca="false">E215*'Assumptions &amp; Data'!O349</f>
        <v>143798.24</v>
      </c>
      <c r="P215" s="39" t="n">
        <f aca="false">H215*'Assumptions &amp; Data'!P349</f>
        <v>81273.846456</v>
      </c>
      <c r="Q215" s="39" t="n">
        <f aca="false">M215-N215-O215-P215</f>
        <v>735444.08491</v>
      </c>
      <c r="R215" s="39" t="n">
        <f aca="false">'Assumptions &amp; Data'!L349*'Assumptions &amp; Data'!M349</f>
        <v>336000</v>
      </c>
      <c r="S215" s="37" t="n">
        <f aca="false">'Assumptions &amp; Data'!Q349</f>
        <v>640000</v>
      </c>
      <c r="T215" s="37" t="n">
        <f aca="false">'Assumptions &amp; Data'!R349</f>
        <v>165635</v>
      </c>
      <c r="U215" s="37" t="n">
        <f aca="false">'Assumptions &amp; Data'!S349</f>
        <v>178205</v>
      </c>
      <c r="V215" s="39" t="n">
        <f aca="false">Q215-R215-S215-T215-U215</f>
        <v>-584395.91509</v>
      </c>
      <c r="W215" s="39" t="n">
        <f aca="false">DAY(EOMONTH(C215,0))</f>
        <v>31</v>
      </c>
      <c r="X215" s="40" t="n">
        <f aca="false">E215/W215</f>
        <v>470.451612903226</v>
      </c>
      <c r="Y215" s="39" t="n">
        <f aca="false">R215+S215+T215+U215</f>
        <v>1319840</v>
      </c>
    </row>
    <row r="216" customFormat="false" ht="15" hidden="false" customHeight="false" outlineLevel="0" collapsed="false">
      <c r="A216" s="37" t="str">
        <f aca="false">'Assumptions &amp; Data'!A350</f>
        <v>SM0146</v>
      </c>
      <c r="B216" s="37" t="str">
        <f aca="false">'Assumptions &amp; Data'!B350</f>
        <v>DS013</v>
      </c>
      <c r="C216" s="38" t="n">
        <f aca="false">'Assumptions &amp; Data'!C350</f>
        <v>45962</v>
      </c>
      <c r="D216" s="39" t="str">
        <f aca="false">INDEX('Assumptions &amp; Data'!$B$142:$B$201,MATCH(B216,'Assumptions &amp; Data'!$A$142:$A$201,0))</f>
        <v>Delhi NCR</v>
      </c>
      <c r="E216" s="37" t="n">
        <f aca="false">'Assumptions &amp; Data'!D350</f>
        <v>16428</v>
      </c>
      <c r="F216" s="39" t="n">
        <f aca="false">E216*'Assumptions &amp; Data'!E350</f>
        <v>9459242.4</v>
      </c>
      <c r="G216" s="39" t="n">
        <f aca="false">F216*'Assumptions &amp; Data'!F350</f>
        <v>583635.25608</v>
      </c>
      <c r="H216" s="39" t="n">
        <f aca="false">F216-G216</f>
        <v>8875607.14392</v>
      </c>
      <c r="I216" s="39" t="n">
        <f aca="false">H216*'Assumptions &amp; Data'!G350</f>
        <v>1497314.9251793</v>
      </c>
      <c r="J216" s="39" t="n">
        <f aca="false">E216*'Assumptions &amp; Data'!H350</f>
        <v>210442.68</v>
      </c>
      <c r="K216" s="39" t="n">
        <f aca="false">H216*'Assumptions &amp; Data'!I350</f>
        <v>215677.253597256</v>
      </c>
      <c r="L216" s="39" t="n">
        <f aca="false">H216*'Assumptions &amp; Data'!J350</f>
        <v>189937.992879888</v>
      </c>
      <c r="M216" s="39" t="n">
        <f aca="false">I216+J216+K216-L216</f>
        <v>1733496.86589667</v>
      </c>
      <c r="N216" s="39" t="n">
        <f aca="false">E216*'Assumptions &amp; Data'!N350</f>
        <v>684226.2</v>
      </c>
      <c r="O216" s="39" t="n">
        <f aca="false">E216*'Assumptions &amp; Data'!O350</f>
        <v>171015.48</v>
      </c>
      <c r="P216" s="39" t="n">
        <f aca="false">H216*'Assumptions &amp; Data'!P350</f>
        <v>89643.632153592</v>
      </c>
      <c r="Q216" s="39" t="n">
        <f aca="false">M216-N216-O216-P216</f>
        <v>788611.55374308</v>
      </c>
      <c r="R216" s="39" t="n">
        <f aca="false">'Assumptions &amp; Data'!L350*'Assumptions &amp; Data'!M350</f>
        <v>336304</v>
      </c>
      <c r="S216" s="37" t="n">
        <f aca="false">'Assumptions &amp; Data'!Q350</f>
        <v>640000</v>
      </c>
      <c r="T216" s="37" t="n">
        <f aca="false">'Assumptions &amp; Data'!R350</f>
        <v>173556</v>
      </c>
      <c r="U216" s="37" t="n">
        <f aca="false">'Assumptions &amp; Data'!S350</f>
        <v>187047</v>
      </c>
      <c r="V216" s="39" t="n">
        <f aca="false">Q216-R216-S216-T216-U216</f>
        <v>-548295.44625692</v>
      </c>
      <c r="W216" s="39" t="n">
        <f aca="false">DAY(EOMONTH(C216,0))</f>
        <v>30</v>
      </c>
      <c r="X216" s="40" t="n">
        <f aca="false">E216/W216</f>
        <v>547.6</v>
      </c>
      <c r="Y216" s="39" t="n">
        <f aca="false">R216+S216+T216+U216</f>
        <v>1336907</v>
      </c>
    </row>
    <row r="217" customFormat="false" ht="15" hidden="false" customHeight="false" outlineLevel="0" collapsed="false">
      <c r="A217" s="37" t="str">
        <f aca="false">'Assumptions &amp; Data'!A351</f>
        <v>SM0147</v>
      </c>
      <c r="B217" s="37" t="str">
        <f aca="false">'Assumptions &amp; Data'!B351</f>
        <v>DS013</v>
      </c>
      <c r="C217" s="38" t="n">
        <f aca="false">'Assumptions &amp; Data'!C351</f>
        <v>45992</v>
      </c>
      <c r="D217" s="39" t="str">
        <f aca="false">INDEX('Assumptions &amp; Data'!$B$142:$B$201,MATCH(B217,'Assumptions &amp; Data'!$A$142:$A$201,0))</f>
        <v>Delhi NCR</v>
      </c>
      <c r="E217" s="37" t="n">
        <f aca="false">'Assumptions &amp; Data'!D351</f>
        <v>16952</v>
      </c>
      <c r="F217" s="39" t="n">
        <f aca="false">E217*'Assumptions &amp; Data'!E351</f>
        <v>9818598.4</v>
      </c>
      <c r="G217" s="39" t="n">
        <f aca="false">F217*'Assumptions &amp; Data'!F351</f>
        <v>610716.82048</v>
      </c>
      <c r="H217" s="39" t="n">
        <f aca="false">F217-G217</f>
        <v>9207881.57952</v>
      </c>
      <c r="I217" s="39" t="n">
        <f aca="false">H217*'Assumptions &amp; Data'!G351</f>
        <v>1581914.05536154</v>
      </c>
      <c r="J217" s="39" t="n">
        <f aca="false">E217*'Assumptions &amp; Data'!H351</f>
        <v>225461.6</v>
      </c>
      <c r="K217" s="39" t="n">
        <f aca="false">H217*'Assumptions &amp; Data'!I351</f>
        <v>203494.182907392</v>
      </c>
      <c r="L217" s="39" t="n">
        <f aca="false">H217*'Assumptions &amp; Data'!J351</f>
        <v>194286.301327872</v>
      </c>
      <c r="M217" s="39" t="n">
        <f aca="false">I217+J217+K217-L217</f>
        <v>1816583.53694106</v>
      </c>
      <c r="N217" s="39" t="n">
        <f aca="false">E217*'Assumptions &amp; Data'!N351</f>
        <v>705372.72</v>
      </c>
      <c r="O217" s="39" t="n">
        <f aca="false">E217*'Assumptions &amp; Data'!O351</f>
        <v>174775.12</v>
      </c>
      <c r="P217" s="39" t="n">
        <f aca="false">H217*'Assumptions &amp; Data'!P351</f>
        <v>91158.027637248</v>
      </c>
      <c r="Q217" s="39" t="n">
        <f aca="false">M217-N217-O217-P217</f>
        <v>845277.669303808</v>
      </c>
      <c r="R217" s="39" t="n">
        <f aca="false">'Assumptions &amp; Data'!L351*'Assumptions &amp; Data'!M351</f>
        <v>336608</v>
      </c>
      <c r="S217" s="37" t="n">
        <f aca="false">'Assumptions &amp; Data'!Q351</f>
        <v>640000</v>
      </c>
      <c r="T217" s="37" t="n">
        <f aca="false">'Assumptions &amp; Data'!R351</f>
        <v>166411</v>
      </c>
      <c r="U217" s="37" t="n">
        <f aca="false">'Assumptions &amp; Data'!S351</f>
        <v>178096</v>
      </c>
      <c r="V217" s="39" t="n">
        <f aca="false">Q217-R217-S217-T217-U217</f>
        <v>-475837.330696192</v>
      </c>
      <c r="W217" s="39" t="n">
        <f aca="false">DAY(EOMONTH(C217,0))</f>
        <v>31</v>
      </c>
      <c r="X217" s="40" t="n">
        <f aca="false">E217/W217</f>
        <v>546.838709677419</v>
      </c>
      <c r="Y217" s="39" t="n">
        <f aca="false">R217+S217+T217+U217</f>
        <v>1321115</v>
      </c>
    </row>
    <row r="218" customFormat="false" ht="15" hidden="false" customHeight="false" outlineLevel="0" collapsed="false">
      <c r="A218" s="37" t="str">
        <f aca="false">'Assumptions &amp; Data'!A352</f>
        <v>SM0148</v>
      </c>
      <c r="B218" s="37" t="str">
        <f aca="false">'Assumptions &amp; Data'!B352</f>
        <v>DS013</v>
      </c>
      <c r="C218" s="38" t="n">
        <f aca="false">'Assumptions &amp; Data'!C352</f>
        <v>46023</v>
      </c>
      <c r="D218" s="39" t="str">
        <f aca="false">INDEX('Assumptions &amp; Data'!$B$142:$B$201,MATCH(B218,'Assumptions &amp; Data'!$A$142:$A$201,0))</f>
        <v>Delhi NCR</v>
      </c>
      <c r="E218" s="37" t="n">
        <f aca="false">'Assumptions &amp; Data'!D352</f>
        <v>18751</v>
      </c>
      <c r="F218" s="39" t="n">
        <f aca="false">E218*'Assumptions &amp; Data'!E352</f>
        <v>11211222.9</v>
      </c>
      <c r="G218" s="39" t="n">
        <f aca="false">F218*'Assumptions &amp; Data'!F352</f>
        <v>690611.33064</v>
      </c>
      <c r="H218" s="39" t="n">
        <f aca="false">F218-G218</f>
        <v>10520611.56936</v>
      </c>
      <c r="I218" s="39" t="n">
        <f aca="false">H218*'Assumptions &amp; Data'!G352</f>
        <v>1830586.41306864</v>
      </c>
      <c r="J218" s="39" t="n">
        <f aca="false">E218*'Assumptions &amp; Data'!H352</f>
        <v>226137.06</v>
      </c>
      <c r="K218" s="39" t="n">
        <f aca="false">H218*'Assumptions &amp; Data'!I352</f>
        <v>233557.576839792</v>
      </c>
      <c r="L218" s="39" t="n">
        <f aca="false">H218*'Assumptions &amp; Data'!J352</f>
        <v>215672.53717188</v>
      </c>
      <c r="M218" s="39" t="n">
        <f aca="false">I218+J218+K218-L218</f>
        <v>2074608.51273655</v>
      </c>
      <c r="N218" s="39" t="n">
        <f aca="false">E218*'Assumptions &amp; Data'!N352</f>
        <v>777791.48</v>
      </c>
      <c r="O218" s="39" t="n">
        <f aca="false">E218*'Assumptions &amp; Data'!O352</f>
        <v>188822.57</v>
      </c>
      <c r="P218" s="39" t="n">
        <f aca="false">H218*'Assumptions &amp; Data'!P352</f>
        <v>104154.054536664</v>
      </c>
      <c r="Q218" s="39" t="n">
        <f aca="false">M218-N218-O218-P218</f>
        <v>1003840.40819989</v>
      </c>
      <c r="R218" s="39" t="n">
        <f aca="false">'Assumptions &amp; Data'!L352*'Assumptions &amp; Data'!M352</f>
        <v>336912</v>
      </c>
      <c r="S218" s="37" t="n">
        <f aca="false">'Assumptions &amp; Data'!Q352</f>
        <v>640000</v>
      </c>
      <c r="T218" s="37" t="n">
        <f aca="false">'Assumptions &amp; Data'!R352</f>
        <v>167129</v>
      </c>
      <c r="U218" s="37" t="n">
        <f aca="false">'Assumptions &amp; Data'!S352</f>
        <v>179637</v>
      </c>
      <c r="V218" s="39" t="n">
        <f aca="false">Q218-R218-S218-T218-U218</f>
        <v>-319837.591800112</v>
      </c>
      <c r="W218" s="39" t="n">
        <f aca="false">DAY(EOMONTH(C218,0))</f>
        <v>31</v>
      </c>
      <c r="X218" s="40" t="n">
        <f aca="false">E218/W218</f>
        <v>604.870967741936</v>
      </c>
      <c r="Y218" s="39" t="n">
        <f aca="false">R218+S218+T218+U218</f>
        <v>1323678</v>
      </c>
    </row>
    <row r="219" customFormat="false" ht="15" hidden="false" customHeight="false" outlineLevel="0" collapsed="false">
      <c r="A219" s="37" t="str">
        <f aca="false">'Assumptions &amp; Data'!A353</f>
        <v>SM0149</v>
      </c>
      <c r="B219" s="37" t="str">
        <f aca="false">'Assumptions &amp; Data'!B353</f>
        <v>DS013</v>
      </c>
      <c r="C219" s="38" t="n">
        <f aca="false">'Assumptions &amp; Data'!C353</f>
        <v>46054</v>
      </c>
      <c r="D219" s="39" t="str">
        <f aca="false">INDEX('Assumptions &amp; Data'!$B$142:$B$201,MATCH(B219,'Assumptions &amp; Data'!$A$142:$A$201,0))</f>
        <v>Delhi NCR</v>
      </c>
      <c r="E219" s="37" t="n">
        <f aca="false">'Assumptions &amp; Data'!D353</f>
        <v>17468</v>
      </c>
      <c r="F219" s="39" t="n">
        <f aca="false">E219*'Assumptions &amp; Data'!E353</f>
        <v>10309613.6</v>
      </c>
      <c r="G219" s="39" t="n">
        <f aca="false">F219*'Assumptions &amp; Data'!F353</f>
        <v>613422.0092</v>
      </c>
      <c r="H219" s="39" t="n">
        <f aca="false">F219-G219</f>
        <v>9696191.5908</v>
      </c>
      <c r="I219" s="39" t="n">
        <f aca="false">H219*'Assumptions &amp; Data'!G353</f>
        <v>1701681.6241854</v>
      </c>
      <c r="J219" s="39" t="n">
        <f aca="false">E219*'Assumptions &amp; Data'!H353</f>
        <v>229180.16</v>
      </c>
      <c r="K219" s="39" t="n">
        <f aca="false">H219*'Assumptions &amp; Data'!I353</f>
        <v>226890.88322472</v>
      </c>
      <c r="L219" s="39" t="n">
        <f aca="false">H219*'Assumptions &amp; Data'!J353</f>
        <v>204589.64256588</v>
      </c>
      <c r="M219" s="39" t="n">
        <f aca="false">I219+J219+K219-L219</f>
        <v>1953163.02484424</v>
      </c>
      <c r="N219" s="39" t="n">
        <f aca="false">E219*'Assumptions &amp; Data'!N353</f>
        <v>717585.44</v>
      </c>
      <c r="O219" s="39" t="n">
        <f aca="false">E219*'Assumptions &amp; Data'!O353</f>
        <v>180269.76</v>
      </c>
      <c r="P219" s="39" t="n">
        <f aca="false">H219*'Assumptions &amp; Data'!P353</f>
        <v>95992.29674892</v>
      </c>
      <c r="Q219" s="39" t="n">
        <f aca="false">M219-N219-O219-P219</f>
        <v>959315.52809532</v>
      </c>
      <c r="R219" s="39" t="n">
        <f aca="false">'Assumptions &amp; Data'!L353*'Assumptions &amp; Data'!M353</f>
        <v>379368</v>
      </c>
      <c r="S219" s="37" t="n">
        <f aca="false">'Assumptions &amp; Data'!Q353</f>
        <v>640000</v>
      </c>
      <c r="T219" s="37" t="n">
        <f aca="false">'Assumptions &amp; Data'!R353</f>
        <v>176828</v>
      </c>
      <c r="U219" s="37" t="n">
        <f aca="false">'Assumptions &amp; Data'!S353</f>
        <v>156038</v>
      </c>
      <c r="V219" s="39" t="n">
        <f aca="false">Q219-R219-S219-T219-U219</f>
        <v>-392918.47190468</v>
      </c>
      <c r="W219" s="39" t="n">
        <f aca="false">DAY(EOMONTH(C219,0))</f>
        <v>28</v>
      </c>
      <c r="X219" s="40" t="n">
        <f aca="false">E219/W219</f>
        <v>623.857142857143</v>
      </c>
      <c r="Y219" s="39" t="n">
        <f aca="false">R219+S219+T219+U219</f>
        <v>1352234</v>
      </c>
    </row>
    <row r="220" customFormat="false" ht="15" hidden="false" customHeight="false" outlineLevel="0" collapsed="false">
      <c r="A220" s="37" t="str">
        <f aca="false">'Assumptions &amp; Data'!A354</f>
        <v>SM0150</v>
      </c>
      <c r="B220" s="37" t="str">
        <f aca="false">'Assumptions &amp; Data'!B354</f>
        <v>DS013</v>
      </c>
      <c r="C220" s="38" t="n">
        <f aca="false">'Assumptions &amp; Data'!C354</f>
        <v>46082</v>
      </c>
      <c r="D220" s="39" t="str">
        <f aca="false">INDEX('Assumptions &amp; Data'!$B$142:$B$201,MATCH(B220,'Assumptions &amp; Data'!$A$142:$A$201,0))</f>
        <v>Delhi NCR</v>
      </c>
      <c r="E220" s="37" t="n">
        <f aca="false">'Assumptions &amp; Data'!D354</f>
        <v>23814</v>
      </c>
      <c r="F220" s="39" t="n">
        <f aca="false">E220*'Assumptions &amp; Data'!E354</f>
        <v>13793068.8</v>
      </c>
      <c r="G220" s="39" t="n">
        <f aca="false">F220*'Assumptions &amp; Data'!F354</f>
        <v>837239.27616</v>
      </c>
      <c r="H220" s="39" t="n">
        <f aca="false">F220-G220</f>
        <v>12955829.52384</v>
      </c>
      <c r="I220" s="39" t="n">
        <f aca="false">H220*'Assumptions &amp; Data'!G354</f>
        <v>2218038.01448141</v>
      </c>
      <c r="J220" s="39" t="n">
        <f aca="false">E220*'Assumptions &amp; Data'!H354</f>
        <v>292912.2</v>
      </c>
      <c r="K220" s="39" t="n">
        <f aca="false">H220*'Assumptions &amp; Data'!I354</f>
        <v>329078.069905536</v>
      </c>
      <c r="L220" s="39" t="n">
        <f aca="false">H220*'Assumptions &amp; Data'!J354</f>
        <v>225431.433714816</v>
      </c>
      <c r="M220" s="39" t="n">
        <f aca="false">I220+J220+K220-L220</f>
        <v>2614596.85067213</v>
      </c>
      <c r="N220" s="39" t="n">
        <f aca="false">E220*'Assumptions &amp; Data'!N354</f>
        <v>933270.66</v>
      </c>
      <c r="O220" s="39" t="n">
        <f aca="false">E220*'Assumptions &amp; Data'!O354</f>
        <v>235758.6</v>
      </c>
      <c r="P220" s="39" t="n">
        <f aca="false">H220*'Assumptions &amp; Data'!P354</f>
        <v>138627.375905088</v>
      </c>
      <c r="Q220" s="39" t="n">
        <f aca="false">M220-N220-O220-P220</f>
        <v>1306940.21476704</v>
      </c>
      <c r="R220" s="39" t="n">
        <f aca="false">'Assumptions &amp; Data'!L354*'Assumptions &amp; Data'!M354</f>
        <v>442995</v>
      </c>
      <c r="S220" s="37" t="n">
        <f aca="false">'Assumptions &amp; Data'!Q354</f>
        <v>640000</v>
      </c>
      <c r="T220" s="37" t="n">
        <f aca="false">'Assumptions &amp; Data'!R354</f>
        <v>167059</v>
      </c>
      <c r="U220" s="37" t="n">
        <f aca="false">'Assumptions &amp; Data'!S354</f>
        <v>197377</v>
      </c>
      <c r="V220" s="39" t="n">
        <f aca="false">Q220-R220-S220-T220-U220</f>
        <v>-140490.78523296</v>
      </c>
      <c r="W220" s="39" t="n">
        <f aca="false">DAY(EOMONTH(C220,0))</f>
        <v>31</v>
      </c>
      <c r="X220" s="40" t="n">
        <f aca="false">E220/W220</f>
        <v>768.193548387097</v>
      </c>
      <c r="Y220" s="39" t="n">
        <f aca="false">R220+S220+T220+U220</f>
        <v>1447431</v>
      </c>
    </row>
    <row r="221" customFormat="false" ht="15" hidden="false" customHeight="false" outlineLevel="0" collapsed="false">
      <c r="A221" s="37" t="str">
        <f aca="false">'Assumptions &amp; Data'!A355</f>
        <v>SM0151</v>
      </c>
      <c r="B221" s="37" t="str">
        <f aca="false">'Assumptions &amp; Data'!B355</f>
        <v>DS013</v>
      </c>
      <c r="C221" s="38" t="n">
        <f aca="false">'Assumptions &amp; Data'!C355</f>
        <v>46113</v>
      </c>
      <c r="D221" s="39" t="str">
        <f aca="false">INDEX('Assumptions &amp; Data'!$B$142:$B$201,MATCH(B221,'Assumptions &amp; Data'!$A$142:$A$201,0))</f>
        <v>Delhi NCR</v>
      </c>
      <c r="E221" s="37" t="n">
        <f aca="false">'Assumptions &amp; Data'!D355</f>
        <v>21148</v>
      </c>
      <c r="F221" s="39" t="n">
        <f aca="false">E221*'Assumptions &amp; Data'!E355</f>
        <v>12428679.6</v>
      </c>
      <c r="G221" s="39" t="n">
        <f aca="false">F221*'Assumptions &amp; Data'!F355</f>
        <v>737020.70028</v>
      </c>
      <c r="H221" s="39" t="n">
        <f aca="false">F221-G221</f>
        <v>11691658.89972</v>
      </c>
      <c r="I221" s="39" t="n">
        <f aca="false">H221*'Assumptions &amp; Data'!G355</f>
        <v>2003950.33541201</v>
      </c>
      <c r="J221" s="39" t="n">
        <f aca="false">E221*'Assumptions &amp; Data'!H355</f>
        <v>283594.68</v>
      </c>
      <c r="K221" s="39" t="n">
        <f aca="false">H221*'Assumptions &amp; Data'!I355</f>
        <v>245524.83689412</v>
      </c>
      <c r="L221" s="39" t="n">
        <f aca="false">H221*'Assumptions &amp; Data'!J355</f>
        <v>225649.016764596</v>
      </c>
      <c r="M221" s="39" t="n">
        <f aca="false">I221+J221+K221-L221</f>
        <v>2307420.83554153</v>
      </c>
      <c r="N221" s="39" t="n">
        <f aca="false">E221*'Assumptions &amp; Data'!N355</f>
        <v>858608.8</v>
      </c>
      <c r="O221" s="39" t="n">
        <f aca="false">E221*'Assumptions &amp; Data'!O355</f>
        <v>216767</v>
      </c>
      <c r="P221" s="39" t="n">
        <f aca="false">H221*'Assumptions &amp; Data'!P355</f>
        <v>116916.5889972</v>
      </c>
      <c r="Q221" s="39" t="n">
        <f aca="false">M221-N221-O221-P221</f>
        <v>1115128.44654433</v>
      </c>
      <c r="R221" s="39" t="n">
        <f aca="false">'Assumptions &amp; Data'!L355*'Assumptions &amp; Data'!M355</f>
        <v>422300</v>
      </c>
      <c r="S221" s="37" t="n">
        <f aca="false">'Assumptions &amp; Data'!Q355</f>
        <v>640000</v>
      </c>
      <c r="T221" s="37" t="n">
        <f aca="false">'Assumptions &amp; Data'!R355</f>
        <v>170448</v>
      </c>
      <c r="U221" s="37" t="n">
        <f aca="false">'Assumptions &amp; Data'!S355</f>
        <v>162853</v>
      </c>
      <c r="V221" s="39" t="n">
        <f aca="false">Q221-R221-S221-T221-U221</f>
        <v>-280472.553455668</v>
      </c>
      <c r="W221" s="39" t="n">
        <f aca="false">DAY(EOMONTH(C221,0))</f>
        <v>30</v>
      </c>
      <c r="X221" s="40" t="n">
        <f aca="false">E221/W221</f>
        <v>704.933333333333</v>
      </c>
      <c r="Y221" s="39" t="n">
        <f aca="false">R221+S221+T221+U221</f>
        <v>1395601</v>
      </c>
    </row>
    <row r="222" customFormat="false" ht="15" hidden="false" customHeight="false" outlineLevel="0" collapsed="false">
      <c r="A222" s="37" t="str">
        <f aca="false">'Assumptions &amp; Data'!A356</f>
        <v>SM0152</v>
      </c>
      <c r="B222" s="37" t="str">
        <f aca="false">'Assumptions &amp; Data'!B356</f>
        <v>DS013</v>
      </c>
      <c r="C222" s="38" t="n">
        <f aca="false">'Assumptions &amp; Data'!C356</f>
        <v>46143</v>
      </c>
      <c r="D222" s="39" t="str">
        <f aca="false">INDEX('Assumptions &amp; Data'!$B$142:$B$201,MATCH(B222,'Assumptions &amp; Data'!$A$142:$A$201,0))</f>
        <v>Delhi NCR</v>
      </c>
      <c r="E222" s="37" t="n">
        <f aca="false">'Assumptions &amp; Data'!D356</f>
        <v>25305</v>
      </c>
      <c r="F222" s="39" t="n">
        <f aca="false">E222*'Assumptions &amp; Data'!E356</f>
        <v>14828730</v>
      </c>
      <c r="G222" s="39" t="n">
        <f aca="false">F222*'Assumptions &amp; Data'!F356</f>
        <v>821511.642</v>
      </c>
      <c r="H222" s="39" t="n">
        <f aca="false">F222-G222</f>
        <v>14007218.358</v>
      </c>
      <c r="I222" s="39" t="n">
        <f aca="false">H222*'Assumptions &amp; Data'!G356</f>
        <v>2435855.2724562</v>
      </c>
      <c r="J222" s="39" t="n">
        <f aca="false">E222*'Assumptions &amp; Data'!H356</f>
        <v>339593.1</v>
      </c>
      <c r="K222" s="39" t="n">
        <f aca="false">H222*'Assumptions &amp; Data'!I356</f>
        <v>395003.5576956</v>
      </c>
      <c r="L222" s="39" t="n">
        <f aca="false">H222*'Assumptions &amp; Data'!J356</f>
        <v>218512.6063848</v>
      </c>
      <c r="M222" s="39" t="n">
        <f aca="false">I222+J222+K222-L222</f>
        <v>2951939.323767</v>
      </c>
      <c r="N222" s="39" t="n">
        <f aca="false">E222*'Assumptions &amp; Data'!N356</f>
        <v>973989.45</v>
      </c>
      <c r="O222" s="39" t="n">
        <f aca="false">E222*'Assumptions &amp; Data'!O356</f>
        <v>259629.3</v>
      </c>
      <c r="P222" s="39" t="n">
        <f aca="false">H222*'Assumptions &amp; Data'!P356</f>
        <v>138671.4617442</v>
      </c>
      <c r="Q222" s="39" t="n">
        <f aca="false">M222-N222-O222-P222</f>
        <v>1579649.1120228</v>
      </c>
      <c r="R222" s="39" t="n">
        <f aca="false">'Assumptions &amp; Data'!L356*'Assumptions &amp; Data'!M356</f>
        <v>443814</v>
      </c>
      <c r="S222" s="37" t="n">
        <f aca="false">'Assumptions &amp; Data'!Q356</f>
        <v>640000</v>
      </c>
      <c r="T222" s="37" t="n">
        <f aca="false">'Assumptions &amp; Data'!R356</f>
        <v>168099</v>
      </c>
      <c r="U222" s="37" t="n">
        <f aca="false">'Assumptions &amp; Data'!S356</f>
        <v>177521</v>
      </c>
      <c r="V222" s="39" t="n">
        <f aca="false">Q222-R222-S222-T222-U222</f>
        <v>150215.1120228</v>
      </c>
      <c r="W222" s="39" t="n">
        <f aca="false">DAY(EOMONTH(C222,0))</f>
        <v>31</v>
      </c>
      <c r="X222" s="40" t="n">
        <f aca="false">E222/W222</f>
        <v>816.290322580645</v>
      </c>
      <c r="Y222" s="39" t="n">
        <f aca="false">R222+S222+T222+U222</f>
        <v>1429434</v>
      </c>
    </row>
    <row r="223" customFormat="false" ht="15" hidden="false" customHeight="false" outlineLevel="0" collapsed="false">
      <c r="A223" s="37" t="str">
        <f aca="false">'Assumptions &amp; Data'!A357</f>
        <v>SM0153</v>
      </c>
      <c r="B223" s="37" t="str">
        <f aca="false">'Assumptions &amp; Data'!B357</f>
        <v>DS013</v>
      </c>
      <c r="C223" s="38" t="n">
        <f aca="false">'Assumptions &amp; Data'!C357</f>
        <v>46174</v>
      </c>
      <c r="D223" s="39" t="str">
        <f aca="false">INDEX('Assumptions &amp; Data'!$B$142:$B$201,MATCH(B223,'Assumptions &amp; Data'!$A$142:$A$201,0))</f>
        <v>Delhi NCR</v>
      </c>
      <c r="E223" s="37" t="n">
        <f aca="false">'Assumptions &amp; Data'!D357</f>
        <v>25192</v>
      </c>
      <c r="F223" s="39" t="n">
        <f aca="false">E223*'Assumptions &amp; Data'!E357</f>
        <v>14654186.4</v>
      </c>
      <c r="G223" s="39" t="n">
        <f aca="false">F223*'Assumptions &amp; Data'!F357</f>
        <v>825030.69432</v>
      </c>
      <c r="H223" s="39" t="n">
        <f aca="false">F223-G223</f>
        <v>13829155.70568</v>
      </c>
      <c r="I223" s="39" t="n">
        <f aca="false">H223*'Assumptions &amp; Data'!G357</f>
        <v>2433931.40419968</v>
      </c>
      <c r="J223" s="39" t="n">
        <f aca="false">E223*'Assumptions &amp; Data'!H357</f>
        <v>320694.16</v>
      </c>
      <c r="K223" s="39" t="n">
        <f aca="false">H223*'Assumptions &amp; Data'!I357</f>
        <v>359558.04834768</v>
      </c>
      <c r="L223" s="39" t="n">
        <f aca="false">H223*'Assumptions &amp; Data'!J357</f>
        <v>237861.478137696</v>
      </c>
      <c r="M223" s="39" t="n">
        <f aca="false">I223+J223+K223-L223</f>
        <v>2876322.13440966</v>
      </c>
      <c r="N223" s="39" t="n">
        <f aca="false">E223*'Assumptions &amp; Data'!N357</f>
        <v>981480.32</v>
      </c>
      <c r="O223" s="39" t="n">
        <f aca="false">E223*'Assumptions &amp; Data'!O357</f>
        <v>258218</v>
      </c>
      <c r="P223" s="39" t="n">
        <f aca="false">H223*'Assumptions &amp; Data'!P357</f>
        <v>135525.725915664</v>
      </c>
      <c r="Q223" s="39" t="n">
        <f aca="false">M223-N223-O223-P223</f>
        <v>1501098.088494</v>
      </c>
      <c r="R223" s="39" t="n">
        <f aca="false">'Assumptions &amp; Data'!L357*'Assumptions &amp; Data'!M357</f>
        <v>465366</v>
      </c>
      <c r="S223" s="37" t="n">
        <f aca="false">'Assumptions &amp; Data'!Q357</f>
        <v>640000</v>
      </c>
      <c r="T223" s="37" t="n">
        <f aca="false">'Assumptions &amp; Data'!R357</f>
        <v>172645</v>
      </c>
      <c r="U223" s="37" t="n">
        <f aca="false">'Assumptions &amp; Data'!S357</f>
        <v>175283</v>
      </c>
      <c r="V223" s="39" t="n">
        <f aca="false">Q223-R223-S223-T223-U223</f>
        <v>47804.0884939996</v>
      </c>
      <c r="W223" s="39" t="n">
        <f aca="false">DAY(EOMONTH(C223,0))</f>
        <v>30</v>
      </c>
      <c r="X223" s="40" t="n">
        <f aca="false">E223/W223</f>
        <v>839.733333333333</v>
      </c>
      <c r="Y223" s="39" t="n">
        <f aca="false">R223+S223+T223+U223</f>
        <v>1453294</v>
      </c>
    </row>
    <row r="224" customFormat="false" ht="15" hidden="false" customHeight="false" outlineLevel="0" collapsed="false">
      <c r="A224" s="37" t="str">
        <f aca="false">'Assumptions &amp; Data'!A358</f>
        <v>SM0154</v>
      </c>
      <c r="B224" s="37" t="str">
        <f aca="false">'Assumptions &amp; Data'!B358</f>
        <v>DS013</v>
      </c>
      <c r="C224" s="38" t="n">
        <f aca="false">'Assumptions &amp; Data'!C358</f>
        <v>46204</v>
      </c>
      <c r="D224" s="39" t="str">
        <f aca="false">INDEX('Assumptions &amp; Data'!$B$142:$B$201,MATCH(B224,'Assumptions &amp; Data'!$A$142:$A$201,0))</f>
        <v>Delhi NCR</v>
      </c>
      <c r="E224" s="37" t="n">
        <f aca="false">'Assumptions &amp; Data'!D358</f>
        <v>28359</v>
      </c>
      <c r="F224" s="39" t="n">
        <f aca="false">E224*'Assumptions &amp; Data'!E358</f>
        <v>16278066</v>
      </c>
      <c r="G224" s="39" t="n">
        <f aca="false">F224*'Assumptions &amp; Data'!F358</f>
        <v>901804.8564</v>
      </c>
      <c r="H224" s="39" t="n">
        <f aca="false">F224-G224</f>
        <v>15376261.1436</v>
      </c>
      <c r="I224" s="39" t="n">
        <f aca="false">H224*'Assumptions &amp; Data'!G358</f>
        <v>2729286.352989</v>
      </c>
      <c r="J224" s="39" t="n">
        <f aca="false">E224*'Assumptions &amp; Data'!H358</f>
        <v>366114.69</v>
      </c>
      <c r="K224" s="39" t="n">
        <f aca="false">H224*'Assumptions &amp; Data'!I358</f>
        <v>418234.30310592</v>
      </c>
      <c r="L224" s="39" t="n">
        <f aca="false">H224*'Assumptions &amp; Data'!J358</f>
        <v>226031.03881092</v>
      </c>
      <c r="M224" s="39" t="n">
        <f aca="false">I224+J224+K224-L224</f>
        <v>3287604.307284</v>
      </c>
      <c r="N224" s="39" t="n">
        <f aca="false">E224*'Assumptions &amp; Data'!N358</f>
        <v>1080477.9</v>
      </c>
      <c r="O224" s="39" t="n">
        <f aca="false">E224*'Assumptions &amp; Data'!O358</f>
        <v>290112.57</v>
      </c>
      <c r="P224" s="39" t="n">
        <f aca="false">H224*'Assumptions &amp; Data'!P358</f>
        <v>147612.10697856</v>
      </c>
      <c r="Q224" s="39" t="n">
        <f aca="false">M224-N224-O224-P224</f>
        <v>1769401.73030544</v>
      </c>
      <c r="R224" s="39" t="n">
        <f aca="false">'Assumptions &amp; Data'!L358*'Assumptions &amp; Data'!M358</f>
        <v>486956</v>
      </c>
      <c r="S224" s="37" t="n">
        <f aca="false">'Assumptions &amp; Data'!Q358</f>
        <v>640000</v>
      </c>
      <c r="T224" s="37" t="n">
        <f aca="false">'Assumptions &amp; Data'!R358</f>
        <v>161956</v>
      </c>
      <c r="U224" s="37" t="n">
        <f aca="false">'Assumptions &amp; Data'!S358</f>
        <v>177607</v>
      </c>
      <c r="V224" s="39" t="n">
        <f aca="false">Q224-R224-S224-T224-U224</f>
        <v>302882.73030544</v>
      </c>
      <c r="W224" s="39" t="n">
        <f aca="false">DAY(EOMONTH(C224,0))</f>
        <v>31</v>
      </c>
      <c r="X224" s="40" t="n">
        <f aca="false">E224/W224</f>
        <v>914.806451612903</v>
      </c>
      <c r="Y224" s="39" t="n">
        <f aca="false">R224+S224+T224+U224</f>
        <v>1466519</v>
      </c>
    </row>
    <row r="225" customFormat="false" ht="15" hidden="false" customHeight="false" outlineLevel="0" collapsed="false">
      <c r="A225" s="37" t="str">
        <f aca="false">'Assumptions &amp; Data'!A359</f>
        <v>SM0155</v>
      </c>
      <c r="B225" s="37" t="str">
        <f aca="false">'Assumptions &amp; Data'!B359</f>
        <v>DS013</v>
      </c>
      <c r="C225" s="38" t="n">
        <f aca="false">'Assumptions &amp; Data'!C359</f>
        <v>46235</v>
      </c>
      <c r="D225" s="39" t="str">
        <f aca="false">INDEX('Assumptions &amp; Data'!$B$142:$B$201,MATCH(B225,'Assumptions &amp; Data'!$A$142:$A$201,0))</f>
        <v>Delhi NCR</v>
      </c>
      <c r="E225" s="37" t="n">
        <f aca="false">'Assumptions &amp; Data'!D359</f>
        <v>26149</v>
      </c>
      <c r="F225" s="39" t="n">
        <f aca="false">E225*'Assumptions &amp; Data'!E359</f>
        <v>15461903.7</v>
      </c>
      <c r="G225" s="39" t="n">
        <f aca="false">F225*'Assumptions &amp; Data'!F359</f>
        <v>855043.27461</v>
      </c>
      <c r="H225" s="39" t="n">
        <f aca="false">F225-G225</f>
        <v>14606860.42539</v>
      </c>
      <c r="I225" s="39" t="n">
        <f aca="false">H225*'Assumptions &amp; Data'!G359</f>
        <v>2535750.9698477</v>
      </c>
      <c r="J225" s="39" t="n">
        <f aca="false">E225*'Assumptions &amp; Data'!H359</f>
        <v>312480.55</v>
      </c>
      <c r="K225" s="39" t="n">
        <f aca="false">H225*'Assumptions &amp; Data'!I359</f>
        <v>384160.429187757</v>
      </c>
      <c r="L225" s="39" t="n">
        <f aca="false">H225*'Assumptions &amp; Data'!J359</f>
        <v>251237.999316708</v>
      </c>
      <c r="M225" s="39" t="n">
        <f aca="false">I225+J225+K225-L225</f>
        <v>2981153.94971875</v>
      </c>
      <c r="N225" s="39" t="n">
        <f aca="false">E225*'Assumptions &amp; Data'!N359</f>
        <v>1002029.68</v>
      </c>
      <c r="O225" s="39" t="n">
        <f aca="false">E225*'Assumptions &amp; Data'!O359</f>
        <v>262012.98</v>
      </c>
      <c r="P225" s="39" t="n">
        <f aca="false">H225*'Assumptions &amp; Data'!P359</f>
        <v>151911.348424056</v>
      </c>
      <c r="Q225" s="39" t="n">
        <f aca="false">M225-N225-O225-P225</f>
        <v>1565199.9412947</v>
      </c>
      <c r="R225" s="39" t="n">
        <f aca="false">'Assumptions &amp; Data'!L359*'Assumptions &amp; Data'!M359</f>
        <v>487393</v>
      </c>
      <c r="S225" s="37" t="n">
        <f aca="false">'Assumptions &amp; Data'!Q359</f>
        <v>640000</v>
      </c>
      <c r="T225" s="37" t="n">
        <f aca="false">'Assumptions &amp; Data'!R359</f>
        <v>155401</v>
      </c>
      <c r="U225" s="37" t="n">
        <f aca="false">'Assumptions &amp; Data'!S359</f>
        <v>164747</v>
      </c>
      <c r="V225" s="39" t="n">
        <f aca="false">Q225-R225-S225-T225-U225</f>
        <v>117658.941294696</v>
      </c>
      <c r="W225" s="39" t="n">
        <f aca="false">DAY(EOMONTH(C225,0))</f>
        <v>31</v>
      </c>
      <c r="X225" s="40" t="n">
        <f aca="false">E225/W225</f>
        <v>843.516129032258</v>
      </c>
      <c r="Y225" s="39" t="n">
        <f aca="false">R225+S225+T225+U225</f>
        <v>1447541</v>
      </c>
    </row>
    <row r="226" customFormat="false" ht="15" hidden="false" customHeight="false" outlineLevel="0" collapsed="false">
      <c r="A226" s="37" t="str">
        <f aca="false">'Assumptions &amp; Data'!A360</f>
        <v>SM0156</v>
      </c>
      <c r="B226" s="37" t="str">
        <f aca="false">'Assumptions &amp; Data'!B360</f>
        <v>DS013</v>
      </c>
      <c r="C226" s="38" t="n">
        <f aca="false">'Assumptions &amp; Data'!C360</f>
        <v>46266</v>
      </c>
      <c r="D226" s="39" t="str">
        <f aca="false">INDEX('Assumptions &amp; Data'!$B$142:$B$201,MATCH(B226,'Assumptions &amp; Data'!$A$142:$A$201,0))</f>
        <v>Delhi NCR</v>
      </c>
      <c r="E226" s="37" t="n">
        <f aca="false">'Assumptions &amp; Data'!D360</f>
        <v>28531</v>
      </c>
      <c r="F226" s="39" t="n">
        <f aca="false">E226*'Assumptions &amp; Data'!E360</f>
        <v>17044419.4</v>
      </c>
      <c r="G226" s="39" t="n">
        <f aca="false">F226*'Assumptions &amp; Data'!F360</f>
        <v>930625.29924</v>
      </c>
      <c r="H226" s="39" t="n">
        <f aca="false">F226-G226</f>
        <v>16113794.10076</v>
      </c>
      <c r="I226" s="39" t="n">
        <f aca="false">H226*'Assumptions &amp; Data'!G360</f>
        <v>2808634.31176247</v>
      </c>
      <c r="J226" s="39" t="n">
        <f aca="false">E226*'Assumptions &amp; Data'!H360</f>
        <v>354640.33</v>
      </c>
      <c r="K226" s="39" t="n">
        <f aca="false">H226*'Assumptions &amp; Data'!I360</f>
        <v>428626.923080216</v>
      </c>
      <c r="L226" s="39" t="n">
        <f aca="false">H226*'Assumptions &amp; Data'!J360</f>
        <v>235261.393871096</v>
      </c>
      <c r="M226" s="39" t="n">
        <f aca="false">I226+J226+K226-L226</f>
        <v>3356640.17097159</v>
      </c>
      <c r="N226" s="39" t="n">
        <f aca="false">E226*'Assumptions &amp; Data'!N360</f>
        <v>1090169.51</v>
      </c>
      <c r="O226" s="39" t="n">
        <f aca="false">E226*'Assumptions &amp; Data'!O360</f>
        <v>301002.05</v>
      </c>
      <c r="P226" s="39" t="n">
        <f aca="false">H226*'Assumptions &amp; Data'!P360</f>
        <v>156303.802777372</v>
      </c>
      <c r="Q226" s="39" t="n">
        <f aca="false">M226-N226-O226-P226</f>
        <v>1809164.80819422</v>
      </c>
      <c r="R226" s="39" t="n">
        <f aca="false">'Assumptions &amp; Data'!L360*'Assumptions &amp; Data'!M360</f>
        <v>530250</v>
      </c>
      <c r="S226" s="37" t="n">
        <f aca="false">'Assumptions &amp; Data'!Q360</f>
        <v>640000</v>
      </c>
      <c r="T226" s="37" t="n">
        <f aca="false">'Assumptions &amp; Data'!R360</f>
        <v>156879</v>
      </c>
      <c r="U226" s="37" t="n">
        <f aca="false">'Assumptions &amp; Data'!S360</f>
        <v>176259</v>
      </c>
      <c r="V226" s="39" t="n">
        <f aca="false">Q226-R226-S226-T226-U226</f>
        <v>305776.808194216</v>
      </c>
      <c r="W226" s="39" t="n">
        <f aca="false">DAY(EOMONTH(C226,0))</f>
        <v>30</v>
      </c>
      <c r="X226" s="40" t="n">
        <f aca="false">E226/W226</f>
        <v>951.033333333333</v>
      </c>
      <c r="Y226" s="39" t="n">
        <f aca="false">R226+S226+T226+U226</f>
        <v>1503388</v>
      </c>
    </row>
    <row r="227" customFormat="false" ht="15" hidden="false" customHeight="false" outlineLevel="0" collapsed="false">
      <c r="A227" s="37" t="str">
        <f aca="false">'Assumptions &amp; Data'!A361</f>
        <v>SM0157</v>
      </c>
      <c r="B227" s="37" t="str">
        <f aca="false">'Assumptions &amp; Data'!B361</f>
        <v>DS014</v>
      </c>
      <c r="C227" s="38" t="n">
        <f aca="false">'Assumptions &amp; Data'!C361</f>
        <v>45931</v>
      </c>
      <c r="D227" s="39" t="str">
        <f aca="false">INDEX('Assumptions &amp; Data'!$B$142:$B$201,MATCH(B227,'Assumptions &amp; Data'!$A$142:$A$201,0))</f>
        <v>Delhi NCR</v>
      </c>
      <c r="E227" s="37" t="n">
        <f aca="false">'Assumptions &amp; Data'!D361</f>
        <v>17686</v>
      </c>
      <c r="F227" s="39" t="n">
        <f aca="false">E227*'Assumptions &amp; Data'!E361</f>
        <v>11340263.2</v>
      </c>
      <c r="G227" s="39" t="n">
        <f aca="false">F227*'Assumptions &amp; Data'!F361</f>
        <v>765467.766</v>
      </c>
      <c r="H227" s="39" t="n">
        <f aca="false">F227-G227</f>
        <v>10574795.434</v>
      </c>
      <c r="I227" s="39" t="n">
        <f aca="false">H227*'Assumptions &amp; Data'!G361</f>
        <v>1711001.9012212</v>
      </c>
      <c r="J227" s="39" t="n">
        <f aca="false">E227*'Assumptions &amp; Data'!H361</f>
        <v>221251.86</v>
      </c>
      <c r="K227" s="39" t="n">
        <f aca="false">H227*'Assumptions &amp; Data'!I361</f>
        <v>246392.7336122</v>
      </c>
      <c r="L227" s="39" t="n">
        <f aca="false">H227*'Assumptions &amp; Data'!J361</f>
        <v>450486.2854884</v>
      </c>
      <c r="M227" s="39" t="n">
        <f aca="false">I227+J227+K227-L227</f>
        <v>1728160.209345</v>
      </c>
      <c r="N227" s="39" t="n">
        <f aca="false">E227*'Assumptions &amp; Data'!N361</f>
        <v>702487.92</v>
      </c>
      <c r="O227" s="39" t="n">
        <f aca="false">E227*'Assumptions &amp; Data'!O361</f>
        <v>184111.26</v>
      </c>
      <c r="P227" s="39" t="n">
        <f aca="false">H227*'Assumptions &amp; Data'!P361</f>
        <v>100460.556623</v>
      </c>
      <c r="Q227" s="39" t="n">
        <f aca="false">M227-N227-O227-P227</f>
        <v>741100.472722</v>
      </c>
      <c r="R227" s="39" t="n">
        <f aca="false">'Assumptions &amp; Data'!L361*'Assumptions &amp; Data'!M361</f>
        <v>336000</v>
      </c>
      <c r="S227" s="37" t="n">
        <f aca="false">'Assumptions &amp; Data'!Q361</f>
        <v>576000</v>
      </c>
      <c r="T227" s="37" t="n">
        <f aca="false">'Assumptions &amp; Data'!R361</f>
        <v>167249</v>
      </c>
      <c r="U227" s="37" t="n">
        <f aca="false">'Assumptions &amp; Data'!S361</f>
        <v>212602</v>
      </c>
      <c r="V227" s="39" t="n">
        <f aca="false">Q227-R227-S227-T227-U227</f>
        <v>-550750.527278</v>
      </c>
      <c r="W227" s="39" t="n">
        <f aca="false">DAY(EOMONTH(C227,0))</f>
        <v>31</v>
      </c>
      <c r="X227" s="40" t="n">
        <f aca="false">E227/W227</f>
        <v>570.516129032258</v>
      </c>
      <c r="Y227" s="39" t="n">
        <f aca="false">R227+S227+T227+U227</f>
        <v>1291851</v>
      </c>
    </row>
    <row r="228" customFormat="false" ht="15" hidden="false" customHeight="false" outlineLevel="0" collapsed="false">
      <c r="A228" s="37" t="str">
        <f aca="false">'Assumptions &amp; Data'!A362</f>
        <v>SM0158</v>
      </c>
      <c r="B228" s="37" t="str">
        <f aca="false">'Assumptions &amp; Data'!B362</f>
        <v>DS014</v>
      </c>
      <c r="C228" s="38" t="n">
        <f aca="false">'Assumptions &amp; Data'!C362</f>
        <v>45962</v>
      </c>
      <c r="D228" s="39" t="str">
        <f aca="false">INDEX('Assumptions &amp; Data'!$B$142:$B$201,MATCH(B228,'Assumptions &amp; Data'!$A$142:$A$201,0))</f>
        <v>Delhi NCR</v>
      </c>
      <c r="E228" s="37" t="n">
        <f aca="false">'Assumptions &amp; Data'!D362</f>
        <v>19619</v>
      </c>
      <c r="F228" s="39" t="n">
        <f aca="false">E228*'Assumptions &amp; Data'!E362</f>
        <v>12856330.7</v>
      </c>
      <c r="G228" s="39" t="n">
        <f aca="false">F228*'Assumptions &amp; Data'!F362</f>
        <v>788093.07191</v>
      </c>
      <c r="H228" s="39" t="n">
        <f aca="false">F228-G228</f>
        <v>12068237.62809</v>
      </c>
      <c r="I228" s="39" t="n">
        <f aca="false">H228*'Assumptions &amp; Data'!G362</f>
        <v>1982811.44229519</v>
      </c>
      <c r="J228" s="39" t="n">
        <f aca="false">E228*'Assumptions &amp; Data'!H362</f>
        <v>244452.74</v>
      </c>
      <c r="K228" s="39" t="n">
        <f aca="false">H228*'Assumptions &amp; Data'!I362</f>
        <v>267914.875343598</v>
      </c>
      <c r="L228" s="39" t="n">
        <f aca="false">H228*'Assumptions &amp; Data'!J362</f>
        <v>483936.328886409</v>
      </c>
      <c r="M228" s="39" t="n">
        <f aca="false">I228+J228+K228-L228</f>
        <v>2011242.72875238</v>
      </c>
      <c r="N228" s="39" t="n">
        <f aca="false">E228*'Assumptions &amp; Data'!N362</f>
        <v>755527.69</v>
      </c>
      <c r="O228" s="39" t="n">
        <f aca="false">E228*'Assumptions &amp; Data'!O362</f>
        <v>202664.27</v>
      </c>
      <c r="P228" s="39" t="n">
        <f aca="false">H228*'Assumptions &amp; Data'!P362</f>
        <v>115855.081229664</v>
      </c>
      <c r="Q228" s="39" t="n">
        <f aca="false">M228-N228-O228-P228</f>
        <v>937195.687522712</v>
      </c>
      <c r="R228" s="39" t="n">
        <f aca="false">'Assumptions &amp; Data'!L362*'Assumptions &amp; Data'!M362</f>
        <v>336304</v>
      </c>
      <c r="S228" s="37" t="n">
        <f aca="false">'Assumptions &amp; Data'!Q362</f>
        <v>576000</v>
      </c>
      <c r="T228" s="37" t="n">
        <f aca="false">'Assumptions &amp; Data'!R362</f>
        <v>166137</v>
      </c>
      <c r="U228" s="37" t="n">
        <f aca="false">'Assumptions &amp; Data'!S362</f>
        <v>226524</v>
      </c>
      <c r="V228" s="39" t="n">
        <f aca="false">Q228-R228-S228-T228-U228</f>
        <v>-367769.312477288</v>
      </c>
      <c r="W228" s="39" t="n">
        <f aca="false">DAY(EOMONTH(C228,0))</f>
        <v>30</v>
      </c>
      <c r="X228" s="40" t="n">
        <f aca="false">E228/W228</f>
        <v>653.966666666667</v>
      </c>
      <c r="Y228" s="39" t="n">
        <f aca="false">R228+S228+T228+U228</f>
        <v>1304965</v>
      </c>
    </row>
    <row r="229" customFormat="false" ht="15" hidden="false" customHeight="false" outlineLevel="0" collapsed="false">
      <c r="A229" s="37" t="str">
        <f aca="false">'Assumptions &amp; Data'!A363</f>
        <v>SM0159</v>
      </c>
      <c r="B229" s="37" t="str">
        <f aca="false">'Assumptions &amp; Data'!B363</f>
        <v>DS014</v>
      </c>
      <c r="C229" s="38" t="n">
        <f aca="false">'Assumptions &amp; Data'!C363</f>
        <v>45992</v>
      </c>
      <c r="D229" s="39" t="str">
        <f aca="false">INDEX('Assumptions &amp; Data'!$B$142:$B$201,MATCH(B229,'Assumptions &amp; Data'!$A$142:$A$201,0))</f>
        <v>Delhi NCR</v>
      </c>
      <c r="E229" s="37" t="n">
        <f aca="false">'Assumptions &amp; Data'!D363</f>
        <v>20507</v>
      </c>
      <c r="F229" s="39" t="n">
        <f aca="false">E229*'Assumptions &amp; Data'!E363</f>
        <v>12952221.2</v>
      </c>
      <c r="G229" s="39" t="n">
        <f aca="false">F229*'Assumptions &amp; Data'!F363</f>
        <v>765476.27292</v>
      </c>
      <c r="H229" s="39" t="n">
        <f aca="false">F229-G229</f>
        <v>12186744.92708</v>
      </c>
      <c r="I229" s="39" t="n">
        <f aca="false">H229*'Assumptions &amp; Data'!G363</f>
        <v>1980346.0506505</v>
      </c>
      <c r="J229" s="39" t="n">
        <f aca="false">E229*'Assumptions &amp; Data'!H363</f>
        <v>248544.84</v>
      </c>
      <c r="K229" s="39" t="n">
        <f aca="false">H229*'Assumptions &amp; Data'!I363</f>
        <v>288825.854771796</v>
      </c>
      <c r="L229" s="39" t="n">
        <f aca="false">H229*'Assumptions &amp; Data'!J363</f>
        <v>491125.820561324</v>
      </c>
      <c r="M229" s="39" t="n">
        <f aca="false">I229+J229+K229-L229</f>
        <v>2026590.92486097</v>
      </c>
      <c r="N229" s="39" t="n">
        <f aca="false">E229*'Assumptions &amp; Data'!N363</f>
        <v>787878.94</v>
      </c>
      <c r="O229" s="39" t="n">
        <f aca="false">E229*'Assumptions &amp; Data'!O363</f>
        <v>218399.55</v>
      </c>
      <c r="P229" s="39" t="n">
        <f aca="false">H229*'Assumptions &amp; Data'!P363</f>
        <v>121867.4492708</v>
      </c>
      <c r="Q229" s="39" t="n">
        <f aca="false">M229-N229-O229-P229</f>
        <v>898444.985590172</v>
      </c>
      <c r="R229" s="39" t="n">
        <f aca="false">'Assumptions &amp; Data'!L363*'Assumptions &amp; Data'!M363</f>
        <v>336608</v>
      </c>
      <c r="S229" s="37" t="n">
        <f aca="false">'Assumptions &amp; Data'!Q363</f>
        <v>576000</v>
      </c>
      <c r="T229" s="37" t="n">
        <f aca="false">'Assumptions &amp; Data'!R363</f>
        <v>158461</v>
      </c>
      <c r="U229" s="37" t="n">
        <f aca="false">'Assumptions &amp; Data'!S363</f>
        <v>188440</v>
      </c>
      <c r="V229" s="39" t="n">
        <f aca="false">Q229-R229-S229-T229-U229</f>
        <v>-361064.014409828</v>
      </c>
      <c r="W229" s="39" t="n">
        <f aca="false">DAY(EOMONTH(C229,0))</f>
        <v>31</v>
      </c>
      <c r="X229" s="40" t="n">
        <f aca="false">E229/W229</f>
        <v>661.516129032258</v>
      </c>
      <c r="Y229" s="39" t="n">
        <f aca="false">R229+S229+T229+U229</f>
        <v>1259509</v>
      </c>
    </row>
    <row r="230" customFormat="false" ht="15" hidden="false" customHeight="false" outlineLevel="0" collapsed="false">
      <c r="A230" s="37" t="str">
        <f aca="false">'Assumptions &amp; Data'!A364</f>
        <v>SM0160</v>
      </c>
      <c r="B230" s="37" t="str">
        <f aca="false">'Assumptions &amp; Data'!B364</f>
        <v>DS014</v>
      </c>
      <c r="C230" s="38" t="n">
        <f aca="false">'Assumptions &amp; Data'!C364</f>
        <v>46023</v>
      </c>
      <c r="D230" s="39" t="str">
        <f aca="false">INDEX('Assumptions &amp; Data'!$B$142:$B$201,MATCH(B230,'Assumptions &amp; Data'!$A$142:$A$201,0))</f>
        <v>Delhi NCR</v>
      </c>
      <c r="E230" s="37" t="n">
        <f aca="false">'Assumptions &amp; Data'!D364</f>
        <v>21736</v>
      </c>
      <c r="F230" s="39" t="n">
        <f aca="false">E230*'Assumptions &amp; Data'!E364</f>
        <v>14165351.2</v>
      </c>
      <c r="G230" s="39" t="n">
        <f aca="false">F230*'Assumptions &amp; Data'!F364</f>
        <v>876835.23928</v>
      </c>
      <c r="H230" s="39" t="n">
        <f aca="false">F230-G230</f>
        <v>13288515.96072</v>
      </c>
      <c r="I230" s="39" t="n">
        <f aca="false">H230*'Assumptions &amp; Data'!G364</f>
        <v>2176658.91436594</v>
      </c>
      <c r="J230" s="39" t="n">
        <f aca="false">E230*'Assumptions &amp; Data'!H364</f>
        <v>259093.12</v>
      </c>
      <c r="K230" s="39" t="n">
        <f aca="false">H230*'Assumptions &amp; Data'!I364</f>
        <v>317595.531461208</v>
      </c>
      <c r="L230" s="39" t="n">
        <f aca="false">H230*'Assumptions &amp; Data'!J364</f>
        <v>534198.341620944</v>
      </c>
      <c r="M230" s="39" t="n">
        <f aca="false">I230+J230+K230-L230</f>
        <v>2219149.2242062</v>
      </c>
      <c r="N230" s="39" t="n">
        <f aca="false">E230*'Assumptions &amp; Data'!N364</f>
        <v>829663.12</v>
      </c>
      <c r="O230" s="39" t="n">
        <f aca="false">E230*'Assumptions &amp; Data'!O364</f>
        <v>220837.76</v>
      </c>
      <c r="P230" s="39" t="n">
        <f aca="false">H230*'Assumptions &amp; Data'!P364</f>
        <v>130227.456415056</v>
      </c>
      <c r="Q230" s="39" t="n">
        <f aca="false">M230-N230-O230-P230</f>
        <v>1038420.88779114</v>
      </c>
      <c r="R230" s="39" t="n">
        <f aca="false">'Assumptions &amp; Data'!L364*'Assumptions &amp; Data'!M364</f>
        <v>336912</v>
      </c>
      <c r="S230" s="37" t="n">
        <f aca="false">'Assumptions &amp; Data'!Q364</f>
        <v>576000</v>
      </c>
      <c r="T230" s="37" t="n">
        <f aca="false">'Assumptions &amp; Data'!R364</f>
        <v>175085</v>
      </c>
      <c r="U230" s="37" t="n">
        <f aca="false">'Assumptions &amp; Data'!S364</f>
        <v>194999</v>
      </c>
      <c r="V230" s="39" t="n">
        <f aca="false">Q230-R230-S230-T230-U230</f>
        <v>-244575.112208856</v>
      </c>
      <c r="W230" s="39" t="n">
        <f aca="false">DAY(EOMONTH(C230,0))</f>
        <v>31</v>
      </c>
      <c r="X230" s="40" t="n">
        <f aca="false">E230/W230</f>
        <v>701.161290322581</v>
      </c>
      <c r="Y230" s="39" t="n">
        <f aca="false">R230+S230+T230+U230</f>
        <v>1282996</v>
      </c>
    </row>
    <row r="231" customFormat="false" ht="15" hidden="false" customHeight="false" outlineLevel="0" collapsed="false">
      <c r="A231" s="37" t="str">
        <f aca="false">'Assumptions &amp; Data'!A365</f>
        <v>SM0161</v>
      </c>
      <c r="B231" s="37" t="str">
        <f aca="false">'Assumptions &amp; Data'!B365</f>
        <v>DS014</v>
      </c>
      <c r="C231" s="38" t="n">
        <f aca="false">'Assumptions &amp; Data'!C365</f>
        <v>46054</v>
      </c>
      <c r="D231" s="39" t="str">
        <f aca="false">INDEX('Assumptions &amp; Data'!$B$142:$B$201,MATCH(B231,'Assumptions &amp; Data'!$A$142:$A$201,0))</f>
        <v>Delhi NCR</v>
      </c>
      <c r="E231" s="37" t="n">
        <f aca="false">'Assumptions &amp; Data'!D365</f>
        <v>19821</v>
      </c>
      <c r="F231" s="39" t="n">
        <f aca="false">E231*'Assumptions &amp; Data'!E365</f>
        <v>12592281.3</v>
      </c>
      <c r="G231" s="39" t="n">
        <f aca="false">F231*'Assumptions &amp; Data'!F365</f>
        <v>674946.27768</v>
      </c>
      <c r="H231" s="39" t="n">
        <f aca="false">F231-G231</f>
        <v>11917335.02232</v>
      </c>
      <c r="I231" s="39" t="n">
        <f aca="false">H231*'Assumptions &amp; Data'!G365</f>
        <v>1962785.0781761</v>
      </c>
      <c r="J231" s="39" t="n">
        <f aca="false">E231*'Assumptions &amp; Data'!H365</f>
        <v>233293.17</v>
      </c>
      <c r="K231" s="39" t="n">
        <f aca="false">H231*'Assumptions &amp; Data'!I365</f>
        <v>301508.576064696</v>
      </c>
      <c r="L231" s="39" t="n">
        <f aca="false">H231*'Assumptions &amp; Data'!J365</f>
        <v>470734.73338164</v>
      </c>
      <c r="M231" s="39" t="n">
        <f aca="false">I231+J231+K231-L231</f>
        <v>2026852.09085916</v>
      </c>
      <c r="N231" s="39" t="n">
        <f aca="false">E231*'Assumptions &amp; Data'!N365</f>
        <v>762712.08</v>
      </c>
      <c r="O231" s="39" t="n">
        <f aca="false">E231*'Assumptions &amp; Data'!O365</f>
        <v>203561.67</v>
      </c>
      <c r="P231" s="39" t="n">
        <f aca="false">H231*'Assumptions &amp; Data'!P365</f>
        <v>122748.550729896</v>
      </c>
      <c r="Q231" s="39" t="n">
        <f aca="false">M231-N231-O231-P231</f>
        <v>937829.790129264</v>
      </c>
      <c r="R231" s="39" t="n">
        <f aca="false">'Assumptions &amp; Data'!L365*'Assumptions &amp; Data'!M365</f>
        <v>337216</v>
      </c>
      <c r="S231" s="37" t="n">
        <f aca="false">'Assumptions &amp; Data'!Q365</f>
        <v>576000</v>
      </c>
      <c r="T231" s="37" t="n">
        <f aca="false">'Assumptions &amp; Data'!R365</f>
        <v>163075</v>
      </c>
      <c r="U231" s="37" t="n">
        <f aca="false">'Assumptions &amp; Data'!S365</f>
        <v>173721</v>
      </c>
      <c r="V231" s="39" t="n">
        <f aca="false">Q231-R231-S231-T231-U231</f>
        <v>-312182.209870736</v>
      </c>
      <c r="W231" s="39" t="n">
        <f aca="false">DAY(EOMONTH(C231,0))</f>
        <v>28</v>
      </c>
      <c r="X231" s="40" t="n">
        <f aca="false">E231/W231</f>
        <v>707.892857142857</v>
      </c>
      <c r="Y231" s="39" t="n">
        <f aca="false">R231+S231+T231+U231</f>
        <v>1250012</v>
      </c>
    </row>
    <row r="232" customFormat="false" ht="15" hidden="false" customHeight="false" outlineLevel="0" collapsed="false">
      <c r="A232" s="37" t="str">
        <f aca="false">'Assumptions &amp; Data'!A366</f>
        <v>SM0162</v>
      </c>
      <c r="B232" s="37" t="str">
        <f aca="false">'Assumptions &amp; Data'!B366</f>
        <v>DS014</v>
      </c>
      <c r="C232" s="38" t="n">
        <f aca="false">'Assumptions &amp; Data'!C366</f>
        <v>46082</v>
      </c>
      <c r="D232" s="39" t="str">
        <f aca="false">INDEX('Assumptions &amp; Data'!$B$142:$B$201,MATCH(B232,'Assumptions &amp; Data'!$A$142:$A$201,0))</f>
        <v>Delhi NCR</v>
      </c>
      <c r="E232" s="37" t="n">
        <f aca="false">'Assumptions &amp; Data'!D366</f>
        <v>24135</v>
      </c>
      <c r="F232" s="39" t="n">
        <f aca="false">E232*'Assumptions &amp; Data'!E366</f>
        <v>15451227</v>
      </c>
      <c r="G232" s="39" t="n">
        <f aca="false">F232*'Assumptions &amp; Data'!F366</f>
        <v>860633.3439</v>
      </c>
      <c r="H232" s="39" t="n">
        <f aca="false">F232-G232</f>
        <v>14590593.6561</v>
      </c>
      <c r="I232" s="39" t="n">
        <f aca="false">H232*'Assumptions &amp; Data'!G366</f>
        <v>2331576.86624478</v>
      </c>
      <c r="J232" s="39" t="n">
        <f aca="false">E232*'Assumptions &amp; Data'!H366</f>
        <v>272001.45</v>
      </c>
      <c r="K232" s="39" t="n">
        <f aca="false">H232*'Assumptions &amp; Data'!I366</f>
        <v>373519.19759616</v>
      </c>
      <c r="L232" s="39" t="n">
        <f aca="false">H232*'Assumptions &amp; Data'!J366</f>
        <v>552983.49956619</v>
      </c>
      <c r="M232" s="39" t="n">
        <f aca="false">I232+J232+K232-L232</f>
        <v>2424114.01427475</v>
      </c>
      <c r="N232" s="39" t="n">
        <f aca="false">E232*'Assumptions &amp; Data'!N366</f>
        <v>904097.1</v>
      </c>
      <c r="O232" s="39" t="n">
        <f aca="false">E232*'Assumptions &amp; Data'!O366</f>
        <v>248590.5</v>
      </c>
      <c r="P232" s="39" t="n">
        <f aca="false">H232*'Assumptions &amp; Data'!P366</f>
        <v>147364.99592661</v>
      </c>
      <c r="Q232" s="39" t="n">
        <f aca="false">M232-N232-O232-P232</f>
        <v>1124061.41834814</v>
      </c>
      <c r="R232" s="39" t="n">
        <f aca="false">'Assumptions &amp; Data'!L366*'Assumptions &amp; Data'!M366</f>
        <v>358615</v>
      </c>
      <c r="S232" s="37" t="n">
        <f aca="false">'Assumptions &amp; Data'!Q366</f>
        <v>576000</v>
      </c>
      <c r="T232" s="37" t="n">
        <f aca="false">'Assumptions &amp; Data'!R366</f>
        <v>160219</v>
      </c>
      <c r="U232" s="37" t="n">
        <f aca="false">'Assumptions &amp; Data'!S366</f>
        <v>202943</v>
      </c>
      <c r="V232" s="39" t="n">
        <f aca="false">Q232-R232-S232-T232-U232</f>
        <v>-173715.581651859</v>
      </c>
      <c r="W232" s="39" t="n">
        <f aca="false">DAY(EOMONTH(C232,0))</f>
        <v>31</v>
      </c>
      <c r="X232" s="40" t="n">
        <f aca="false">E232/W232</f>
        <v>778.548387096774</v>
      </c>
      <c r="Y232" s="39" t="n">
        <f aca="false">R232+S232+T232+U232</f>
        <v>1297777</v>
      </c>
    </row>
    <row r="233" customFormat="false" ht="15" hidden="false" customHeight="false" outlineLevel="0" collapsed="false">
      <c r="A233" s="37" t="str">
        <f aca="false">'Assumptions &amp; Data'!A367</f>
        <v>SM0163</v>
      </c>
      <c r="B233" s="37" t="str">
        <f aca="false">'Assumptions &amp; Data'!B367</f>
        <v>DS014</v>
      </c>
      <c r="C233" s="38" t="n">
        <f aca="false">'Assumptions &amp; Data'!C367</f>
        <v>46113</v>
      </c>
      <c r="D233" s="39" t="str">
        <f aca="false">INDEX('Assumptions &amp; Data'!$B$142:$B$201,MATCH(B233,'Assumptions &amp; Data'!$A$142:$A$201,0))</f>
        <v>Delhi NCR</v>
      </c>
      <c r="E233" s="37" t="n">
        <f aca="false">'Assumptions &amp; Data'!D367</f>
        <v>24918</v>
      </c>
      <c r="F233" s="39" t="n">
        <f aca="false">E233*'Assumptions &amp; Data'!E367</f>
        <v>16348699.8</v>
      </c>
      <c r="G233" s="39" t="n">
        <f aca="false">F233*'Assumptions &amp; Data'!F367</f>
        <v>962938.41822</v>
      </c>
      <c r="H233" s="39" t="n">
        <f aca="false">F233-G233</f>
        <v>15385761.38178</v>
      </c>
      <c r="I233" s="39" t="n">
        <f aca="false">H233*'Assumptions &amp; Data'!G367</f>
        <v>2564806.42234273</v>
      </c>
      <c r="J233" s="39" t="n">
        <f aca="false">E233*'Assumptions &amp; Data'!H367</f>
        <v>304996.32</v>
      </c>
      <c r="K233" s="39" t="n">
        <f aca="false">H233*'Assumptions &amp; Data'!I367</f>
        <v>393875.491373568</v>
      </c>
      <c r="L233" s="39" t="n">
        <f aca="false">H233*'Assumptions &amp; Data'!J367</f>
        <v>581581.780231284</v>
      </c>
      <c r="M233" s="39" t="n">
        <f aca="false">I233+J233+K233-L233</f>
        <v>2682096.45348501</v>
      </c>
      <c r="N233" s="39" t="n">
        <f aca="false">E233*'Assumptions &amp; Data'!N367</f>
        <v>909257.82</v>
      </c>
      <c r="O233" s="39" t="n">
        <f aca="false">E233*'Assumptions &amp; Data'!O367</f>
        <v>256655.4</v>
      </c>
      <c r="P233" s="39" t="n">
        <f aca="false">H233*'Assumptions &amp; Data'!P367</f>
        <v>160011.918370512</v>
      </c>
      <c r="Q233" s="39" t="n">
        <f aca="false">M233-N233-O233-P233</f>
        <v>1356171.3151145</v>
      </c>
      <c r="R233" s="39" t="n">
        <f aca="false">'Assumptions &amp; Data'!L367*'Assumptions &amp; Data'!M367</f>
        <v>380070</v>
      </c>
      <c r="S233" s="37" t="n">
        <f aca="false">'Assumptions &amp; Data'!Q367</f>
        <v>576000</v>
      </c>
      <c r="T233" s="37" t="n">
        <f aca="false">'Assumptions &amp; Data'!R367</f>
        <v>173127</v>
      </c>
      <c r="U233" s="37" t="n">
        <f aca="false">'Assumptions &amp; Data'!S367</f>
        <v>195916</v>
      </c>
      <c r="V233" s="39" t="n">
        <f aca="false">Q233-R233-S233-T233-U233</f>
        <v>31058.3151144974</v>
      </c>
      <c r="W233" s="39" t="n">
        <f aca="false">DAY(EOMONTH(C233,0))</f>
        <v>30</v>
      </c>
      <c r="X233" s="40" t="n">
        <f aca="false">E233/W233</f>
        <v>830.6</v>
      </c>
      <c r="Y233" s="39" t="n">
        <f aca="false">R233+S233+T233+U233</f>
        <v>1325113</v>
      </c>
    </row>
    <row r="234" customFormat="false" ht="15" hidden="false" customHeight="false" outlineLevel="0" collapsed="false">
      <c r="A234" s="37" t="str">
        <f aca="false">'Assumptions &amp; Data'!A368</f>
        <v>SM0164</v>
      </c>
      <c r="B234" s="37" t="str">
        <f aca="false">'Assumptions &amp; Data'!B368</f>
        <v>DS014</v>
      </c>
      <c r="C234" s="38" t="n">
        <f aca="false">'Assumptions &amp; Data'!C368</f>
        <v>46143</v>
      </c>
      <c r="D234" s="39" t="str">
        <f aca="false">INDEX('Assumptions &amp; Data'!$B$142:$B$201,MATCH(B234,'Assumptions &amp; Data'!$A$142:$A$201,0))</f>
        <v>Delhi NCR</v>
      </c>
      <c r="E234" s="37" t="n">
        <f aca="false">'Assumptions &amp; Data'!D368</f>
        <v>27028</v>
      </c>
      <c r="F234" s="39" t="n">
        <f aca="false">E234*'Assumptions &amp; Data'!E368</f>
        <v>17546577.6</v>
      </c>
      <c r="G234" s="39" t="n">
        <f aca="false">F234*'Assumptions &amp; Data'!F368</f>
        <v>991381.6344</v>
      </c>
      <c r="H234" s="39" t="n">
        <f aca="false">F234-G234</f>
        <v>16555195.9656</v>
      </c>
      <c r="I234" s="39" t="n">
        <f aca="false">H234*'Assumptions &amp; Data'!G368</f>
        <v>2716707.65795496</v>
      </c>
      <c r="J234" s="39" t="n">
        <f aca="false">E234*'Assumptions &amp; Data'!H368</f>
        <v>330282.16</v>
      </c>
      <c r="K234" s="39" t="n">
        <f aca="false">H234*'Assumptions &amp; Data'!I368</f>
        <v>427124.05591248</v>
      </c>
      <c r="L234" s="39" t="n">
        <f aca="false">H234*'Assumptions &amp; Data'!J368</f>
        <v>594331.53516504</v>
      </c>
      <c r="M234" s="39" t="n">
        <f aca="false">I234+J234+K234-L234</f>
        <v>2879782.3387024</v>
      </c>
      <c r="N234" s="39" t="n">
        <f aca="false">E234*'Assumptions &amp; Data'!N368</f>
        <v>988684.24</v>
      </c>
      <c r="O234" s="39" t="n">
        <f aca="false">E234*'Assumptions &amp; Data'!O368</f>
        <v>284064.28</v>
      </c>
      <c r="P234" s="39" t="n">
        <f aca="false">H234*'Assumptions &amp; Data'!P368</f>
        <v>170518.51844568</v>
      </c>
      <c r="Q234" s="39" t="n">
        <f aca="false">M234-N234-O234-P234</f>
        <v>1436515.30025672</v>
      </c>
      <c r="R234" s="39" t="n">
        <f aca="false">'Assumptions &amp; Data'!L368*'Assumptions &amp; Data'!M368</f>
        <v>401546</v>
      </c>
      <c r="S234" s="37" t="n">
        <f aca="false">'Assumptions &amp; Data'!Q368</f>
        <v>576000</v>
      </c>
      <c r="T234" s="37" t="n">
        <f aca="false">'Assumptions &amp; Data'!R368</f>
        <v>166523</v>
      </c>
      <c r="U234" s="37" t="n">
        <f aca="false">'Assumptions &amp; Data'!S368</f>
        <v>199327</v>
      </c>
      <c r="V234" s="39" t="n">
        <f aca="false">Q234-R234-S234-T234-U234</f>
        <v>93119.3002567203</v>
      </c>
      <c r="W234" s="39" t="n">
        <f aca="false">DAY(EOMONTH(C234,0))</f>
        <v>31</v>
      </c>
      <c r="X234" s="40" t="n">
        <f aca="false">E234/W234</f>
        <v>871.870967741936</v>
      </c>
      <c r="Y234" s="39" t="n">
        <f aca="false">R234+S234+T234+U234</f>
        <v>1343396</v>
      </c>
    </row>
    <row r="235" customFormat="false" ht="15" hidden="false" customHeight="false" outlineLevel="0" collapsed="false">
      <c r="A235" s="37" t="str">
        <f aca="false">'Assumptions &amp; Data'!A369</f>
        <v>SM0165</v>
      </c>
      <c r="B235" s="37" t="str">
        <f aca="false">'Assumptions &amp; Data'!B369</f>
        <v>DS014</v>
      </c>
      <c r="C235" s="38" t="n">
        <f aca="false">'Assumptions &amp; Data'!C369</f>
        <v>46174</v>
      </c>
      <c r="D235" s="39" t="str">
        <f aca="false">INDEX('Assumptions &amp; Data'!$B$142:$B$201,MATCH(B235,'Assumptions &amp; Data'!$A$142:$A$201,0))</f>
        <v>Delhi NCR</v>
      </c>
      <c r="E235" s="37" t="n">
        <f aca="false">'Assumptions &amp; Data'!D369</f>
        <v>26830</v>
      </c>
      <c r="F235" s="39" t="n">
        <f aca="false">E235*'Assumptions &amp; Data'!E369</f>
        <v>17404621</v>
      </c>
      <c r="G235" s="39" t="n">
        <f aca="false">F235*'Assumptions &amp; Data'!F369</f>
        <v>983361.0865</v>
      </c>
      <c r="H235" s="39" t="n">
        <f aca="false">F235-G235</f>
        <v>16421259.9135</v>
      </c>
      <c r="I235" s="39" t="n">
        <f aca="false">H235*'Assumptions &amp; Data'!G369</f>
        <v>2699655.1297794</v>
      </c>
      <c r="J235" s="39" t="n">
        <f aca="false">E235*'Assumptions &amp; Data'!H369</f>
        <v>314984.2</v>
      </c>
      <c r="K235" s="39" t="n">
        <f aca="false">H235*'Assumptions &amp; Data'!I369</f>
        <v>385899.60796725</v>
      </c>
      <c r="L235" s="39" t="n">
        <f aca="false">H235*'Assumptions &amp; Data'!J369</f>
        <v>599375.98684275</v>
      </c>
      <c r="M235" s="39" t="n">
        <f aca="false">I235+J235+K235-L235</f>
        <v>2801162.9509039</v>
      </c>
      <c r="N235" s="39" t="n">
        <f aca="false">E235*'Assumptions &amp; Data'!N369</f>
        <v>959172.5</v>
      </c>
      <c r="O235" s="39" t="n">
        <f aca="false">E235*'Assumptions &amp; Data'!O369</f>
        <v>262934</v>
      </c>
      <c r="P235" s="39" t="n">
        <f aca="false">H235*'Assumptions &amp; Data'!P369</f>
        <v>154359.8431869</v>
      </c>
      <c r="Q235" s="39" t="n">
        <f aca="false">M235-N235-O235-P235</f>
        <v>1424696.607717</v>
      </c>
      <c r="R235" s="39" t="n">
        <f aca="false">'Assumptions &amp; Data'!L369*'Assumptions &amp; Data'!M369</f>
        <v>401907</v>
      </c>
      <c r="S235" s="37" t="n">
        <f aca="false">'Assumptions &amp; Data'!Q369</f>
        <v>576000</v>
      </c>
      <c r="T235" s="37" t="n">
        <f aca="false">'Assumptions &amp; Data'!R369</f>
        <v>166545</v>
      </c>
      <c r="U235" s="37" t="n">
        <f aca="false">'Assumptions &amp; Data'!S369</f>
        <v>199716</v>
      </c>
      <c r="V235" s="39" t="n">
        <f aca="false">Q235-R235-S235-T235-U235</f>
        <v>80528.607717</v>
      </c>
      <c r="W235" s="39" t="n">
        <f aca="false">DAY(EOMONTH(C235,0))</f>
        <v>30</v>
      </c>
      <c r="X235" s="40" t="n">
        <f aca="false">E235/W235</f>
        <v>894.333333333333</v>
      </c>
      <c r="Y235" s="39" t="n">
        <f aca="false">R235+S235+T235+U235</f>
        <v>1344168</v>
      </c>
    </row>
    <row r="236" customFormat="false" ht="15" hidden="false" customHeight="false" outlineLevel="0" collapsed="false">
      <c r="A236" s="37" t="str">
        <f aca="false">'Assumptions &amp; Data'!A370</f>
        <v>SM0166</v>
      </c>
      <c r="B236" s="37" t="str">
        <f aca="false">'Assumptions &amp; Data'!B370</f>
        <v>DS014</v>
      </c>
      <c r="C236" s="38" t="n">
        <f aca="false">'Assumptions &amp; Data'!C370</f>
        <v>46204</v>
      </c>
      <c r="D236" s="39" t="str">
        <f aca="false">INDEX('Assumptions &amp; Data'!$B$142:$B$201,MATCH(B236,'Assumptions &amp; Data'!$A$142:$A$201,0))</f>
        <v>Delhi NCR</v>
      </c>
      <c r="E236" s="37" t="n">
        <f aca="false">'Assumptions &amp; Data'!D370</f>
        <v>27411</v>
      </c>
      <c r="F236" s="39" t="n">
        <f aca="false">E236*'Assumptions &amp; Data'!E370</f>
        <v>17617049.7</v>
      </c>
      <c r="G236" s="39" t="n">
        <f aca="false">F236*'Assumptions &amp; Data'!F370</f>
        <v>975984.55338</v>
      </c>
      <c r="H236" s="39" t="n">
        <f aca="false">F236-G236</f>
        <v>16641065.14662</v>
      </c>
      <c r="I236" s="39" t="n">
        <f aca="false">H236*'Assumptions &amp; Data'!G370</f>
        <v>2757424.49479493</v>
      </c>
      <c r="J236" s="39" t="n">
        <f aca="false">E236*'Assumptions &amp; Data'!H370</f>
        <v>342911.61</v>
      </c>
      <c r="K236" s="39" t="n">
        <f aca="false">H236*'Assumptions &amp; Data'!I370</f>
        <v>445980.545929416</v>
      </c>
      <c r="L236" s="39" t="n">
        <f aca="false">H236*'Assumptions &amp; Data'!J370</f>
        <v>585765.493161024</v>
      </c>
      <c r="M236" s="39" t="n">
        <f aca="false">I236+J236+K236-L236</f>
        <v>2960551.15756333</v>
      </c>
      <c r="N236" s="39" t="n">
        <f aca="false">E236*'Assumptions &amp; Data'!N370</f>
        <v>973364.61</v>
      </c>
      <c r="O236" s="39" t="n">
        <f aca="false">E236*'Assumptions &amp; Data'!O370</f>
        <v>283703.85</v>
      </c>
      <c r="P236" s="39" t="n">
        <f aca="false">H236*'Assumptions &amp; Data'!P370</f>
        <v>168074.757980862</v>
      </c>
      <c r="Q236" s="39" t="n">
        <f aca="false">M236-N236-O236-P236</f>
        <v>1535407.93958246</v>
      </c>
      <c r="R236" s="39" t="n">
        <f aca="false">'Assumptions &amp; Data'!L370*'Assumptions &amp; Data'!M370</f>
        <v>402268</v>
      </c>
      <c r="S236" s="37" t="n">
        <f aca="false">'Assumptions &amp; Data'!Q370</f>
        <v>576000</v>
      </c>
      <c r="T236" s="37" t="n">
        <f aca="false">'Assumptions &amp; Data'!R370</f>
        <v>156954</v>
      </c>
      <c r="U236" s="37" t="n">
        <f aca="false">'Assumptions &amp; Data'!S370</f>
        <v>192637</v>
      </c>
      <c r="V236" s="39" t="n">
        <f aca="false">Q236-R236-S236-T236-U236</f>
        <v>207548.939582465</v>
      </c>
      <c r="W236" s="39" t="n">
        <f aca="false">DAY(EOMONTH(C236,0))</f>
        <v>31</v>
      </c>
      <c r="X236" s="40" t="n">
        <f aca="false">E236/W236</f>
        <v>884.225806451613</v>
      </c>
      <c r="Y236" s="39" t="n">
        <f aca="false">R236+S236+T236+U236</f>
        <v>1327859</v>
      </c>
    </row>
    <row r="237" customFormat="false" ht="15" hidden="false" customHeight="false" outlineLevel="0" collapsed="false">
      <c r="A237" s="37" t="str">
        <f aca="false">'Assumptions &amp; Data'!A371</f>
        <v>SM0167</v>
      </c>
      <c r="B237" s="37" t="str">
        <f aca="false">'Assumptions &amp; Data'!B371</f>
        <v>DS014</v>
      </c>
      <c r="C237" s="38" t="n">
        <f aca="false">'Assumptions &amp; Data'!C371</f>
        <v>46235</v>
      </c>
      <c r="D237" s="39" t="str">
        <f aca="false">INDEX('Assumptions &amp; Data'!$B$142:$B$201,MATCH(B237,'Assumptions &amp; Data'!$A$142:$A$201,0))</f>
        <v>Delhi NCR</v>
      </c>
      <c r="E237" s="37" t="n">
        <f aca="false">'Assumptions &amp; Data'!D371</f>
        <v>29280</v>
      </c>
      <c r="F237" s="39" t="n">
        <f aca="false">E237*'Assumptions &amp; Data'!E371</f>
        <v>18903168</v>
      </c>
      <c r="G237" s="39" t="n">
        <f aca="false">F237*'Assumptions &amp; Data'!F371</f>
        <v>994306.6368</v>
      </c>
      <c r="H237" s="39" t="n">
        <f aca="false">F237-G237</f>
        <v>17908861.3632</v>
      </c>
      <c r="I237" s="39" t="n">
        <f aca="false">H237*'Assumptions &amp; Data'!G371</f>
        <v>2987198.07538176</v>
      </c>
      <c r="J237" s="39" t="n">
        <f aca="false">E237*'Assumptions &amp; Data'!H371</f>
        <v>337012.8</v>
      </c>
      <c r="K237" s="39" t="n">
        <f aca="false">H237*'Assumptions &amp; Data'!I371</f>
        <v>505029.89044224</v>
      </c>
      <c r="L237" s="39" t="n">
        <f aca="false">H237*'Assumptions &amp; Data'!J371</f>
        <v>630391.91998464</v>
      </c>
      <c r="M237" s="39" t="n">
        <f aca="false">I237+J237+K237-L237</f>
        <v>3198848.84583936</v>
      </c>
      <c r="N237" s="39" t="n">
        <f aca="false">E237*'Assumptions &amp; Data'!N371</f>
        <v>1045296</v>
      </c>
      <c r="O237" s="39" t="n">
        <f aca="false">E237*'Assumptions &amp; Data'!O371</f>
        <v>300998.4</v>
      </c>
      <c r="P237" s="39" t="n">
        <f aca="false">H237*'Assumptions &amp; Data'!P371</f>
        <v>166552.41067776</v>
      </c>
      <c r="Q237" s="39" t="n">
        <f aca="false">M237-N237-O237-P237</f>
        <v>1686002.0351616</v>
      </c>
      <c r="R237" s="39" t="n">
        <f aca="false">'Assumptions &amp; Data'!L371*'Assumptions &amp; Data'!M371</f>
        <v>402629</v>
      </c>
      <c r="S237" s="37" t="n">
        <f aca="false">'Assumptions &amp; Data'!Q371</f>
        <v>576000</v>
      </c>
      <c r="T237" s="37" t="n">
        <f aca="false">'Assumptions &amp; Data'!R371</f>
        <v>169871</v>
      </c>
      <c r="U237" s="37" t="n">
        <f aca="false">'Assumptions &amp; Data'!S371</f>
        <v>199675</v>
      </c>
      <c r="V237" s="39" t="n">
        <f aca="false">Q237-R237-S237-T237-U237</f>
        <v>337827.0351616</v>
      </c>
      <c r="W237" s="39" t="n">
        <f aca="false">DAY(EOMONTH(C237,0))</f>
        <v>31</v>
      </c>
      <c r="X237" s="40" t="n">
        <f aca="false">E237/W237</f>
        <v>944.516129032258</v>
      </c>
      <c r="Y237" s="39" t="n">
        <f aca="false">R237+S237+T237+U237</f>
        <v>1348175</v>
      </c>
    </row>
    <row r="238" customFormat="false" ht="15" hidden="false" customHeight="false" outlineLevel="0" collapsed="false">
      <c r="A238" s="37" t="str">
        <f aca="false">'Assumptions &amp; Data'!A372</f>
        <v>SM0168</v>
      </c>
      <c r="B238" s="37" t="str">
        <f aca="false">'Assumptions &amp; Data'!B372</f>
        <v>DS014</v>
      </c>
      <c r="C238" s="38" t="n">
        <f aca="false">'Assumptions &amp; Data'!C372</f>
        <v>46266</v>
      </c>
      <c r="D238" s="39" t="str">
        <f aca="false">INDEX('Assumptions &amp; Data'!$B$142:$B$201,MATCH(B238,'Assumptions &amp; Data'!$A$142:$A$201,0))</f>
        <v>Delhi NCR</v>
      </c>
      <c r="E238" s="37" t="n">
        <f aca="false">'Assumptions &amp; Data'!D372</f>
        <v>27797</v>
      </c>
      <c r="F238" s="39" t="n">
        <f aca="false">E238*'Assumptions &amp; Data'!E372</f>
        <v>17912386.8</v>
      </c>
      <c r="G238" s="39" t="n">
        <f aca="false">F238*'Assumptions &amp; Data'!F372</f>
        <v>956521.45512</v>
      </c>
      <c r="H238" s="39" t="n">
        <f aca="false">F238-G238</f>
        <v>16955865.34488</v>
      </c>
      <c r="I238" s="39" t="n">
        <f aca="false">H238*'Assumptions &amp; Data'!G372</f>
        <v>2733285.49359466</v>
      </c>
      <c r="J238" s="39" t="n">
        <f aca="false">E238*'Assumptions &amp; Data'!H372</f>
        <v>345794.68</v>
      </c>
      <c r="K238" s="39" t="n">
        <f aca="false">H238*'Assumptions &amp; Data'!I372</f>
        <v>447634.845104832</v>
      </c>
      <c r="L238" s="39" t="n">
        <f aca="false">H238*'Assumptions &amp; Data'!J372</f>
        <v>596846.460139776</v>
      </c>
      <c r="M238" s="39" t="n">
        <f aca="false">I238+J238+K238-L238</f>
        <v>2929868.55855971</v>
      </c>
      <c r="N238" s="39" t="n">
        <f aca="false">E238*'Assumptions &amp; Data'!N372</f>
        <v>1004305.61</v>
      </c>
      <c r="O238" s="39" t="n">
        <f aca="false">E238*'Assumptions &amp; Data'!O372</f>
        <v>288254.89</v>
      </c>
      <c r="P238" s="39" t="n">
        <f aca="false">H238*'Assumptions &amp; Data'!P372</f>
        <v>174645.413052264</v>
      </c>
      <c r="Q238" s="39" t="n">
        <f aca="false">M238-N238-O238-P238</f>
        <v>1462662.64550745</v>
      </c>
      <c r="R238" s="39" t="n">
        <f aca="false">'Assumptions &amp; Data'!L372*'Assumptions &amp; Data'!M372</f>
        <v>424200</v>
      </c>
      <c r="S238" s="37" t="n">
        <f aca="false">'Assumptions &amp; Data'!Q372</f>
        <v>576000</v>
      </c>
      <c r="T238" s="37" t="n">
        <f aca="false">'Assumptions &amp; Data'!R372</f>
        <v>163502</v>
      </c>
      <c r="U238" s="37" t="n">
        <f aca="false">'Assumptions &amp; Data'!S372</f>
        <v>167739</v>
      </c>
      <c r="V238" s="39" t="n">
        <f aca="false">Q238-R238-S238-T238-U238</f>
        <v>131221.645507449</v>
      </c>
      <c r="W238" s="39" t="n">
        <f aca="false">DAY(EOMONTH(C238,0))</f>
        <v>30</v>
      </c>
      <c r="X238" s="40" t="n">
        <f aca="false">E238/W238</f>
        <v>926.566666666667</v>
      </c>
      <c r="Y238" s="39" t="n">
        <f aca="false">R238+S238+T238+U238</f>
        <v>1331441</v>
      </c>
    </row>
    <row r="239" customFormat="false" ht="15" hidden="false" customHeight="false" outlineLevel="0" collapsed="false">
      <c r="A239" s="37" t="str">
        <f aca="false">'Assumptions &amp; Data'!A373</f>
        <v>SM0169</v>
      </c>
      <c r="B239" s="37" t="str">
        <f aca="false">'Assumptions &amp; Data'!B373</f>
        <v>DS015</v>
      </c>
      <c r="C239" s="38" t="n">
        <f aca="false">'Assumptions &amp; Data'!C373</f>
        <v>45931</v>
      </c>
      <c r="D239" s="39" t="str">
        <f aca="false">INDEX('Assumptions &amp; Data'!$B$142:$B$201,MATCH(B239,'Assumptions &amp; Data'!$A$142:$A$201,0))</f>
        <v>Mumbai MMR</v>
      </c>
      <c r="E239" s="37" t="n">
        <f aca="false">'Assumptions &amp; Data'!D373</f>
        <v>2211</v>
      </c>
      <c r="F239" s="39" t="n">
        <f aca="false">E239*'Assumptions &amp; Data'!E373</f>
        <v>1545931.2</v>
      </c>
      <c r="G239" s="39" t="n">
        <f aca="false">F239*'Assumptions &amp; Data'!F373</f>
        <v>134032.23504</v>
      </c>
      <c r="H239" s="39" t="n">
        <f aca="false">F239-G239</f>
        <v>1411898.96496</v>
      </c>
      <c r="I239" s="39" t="n">
        <f aca="false">H239*'Assumptions &amp; Data'!G373</f>
        <v>234939.987769344</v>
      </c>
      <c r="J239" s="39" t="n">
        <f aca="false">E239*'Assumptions &amp; Data'!H373</f>
        <v>26156.13</v>
      </c>
      <c r="K239" s="39" t="n">
        <f aca="false">H239*'Assumptions &amp; Data'!I373</f>
        <v>23578.712714832</v>
      </c>
      <c r="L239" s="39" t="n">
        <f aca="false">H239*'Assumptions &amp; Data'!J373</f>
        <v>53228.590978992</v>
      </c>
      <c r="M239" s="39" t="n">
        <f aca="false">I239+J239+K239-L239</f>
        <v>231446.239505184</v>
      </c>
      <c r="N239" s="39" t="n">
        <f aca="false">E239*'Assumptions &amp; Data'!N373</f>
        <v>112827.33</v>
      </c>
      <c r="O239" s="39" t="n">
        <f aca="false">E239*'Assumptions &amp; Data'!O373</f>
        <v>23591.37</v>
      </c>
      <c r="P239" s="39" t="n">
        <f aca="false">H239*'Assumptions &amp; Data'!P373</f>
        <v>14260.179546096</v>
      </c>
      <c r="Q239" s="39" t="n">
        <f aca="false">M239-N239-O239-P239</f>
        <v>80767.3599590881</v>
      </c>
      <c r="R239" s="39" t="n">
        <f aca="false">'Assumptions &amp; Data'!L373*'Assumptions &amp; Data'!M373</f>
        <v>368000</v>
      </c>
      <c r="S239" s="37" t="n">
        <f aca="false">'Assumptions &amp; Data'!Q373</f>
        <v>572000</v>
      </c>
      <c r="T239" s="37" t="n">
        <f aca="false">'Assumptions &amp; Data'!R373</f>
        <v>163344</v>
      </c>
      <c r="U239" s="37" t="n">
        <f aca="false">'Assumptions &amp; Data'!S373</f>
        <v>47263</v>
      </c>
      <c r="V239" s="39" t="n">
        <f aca="false">Q239-R239-S239-T239-U239</f>
        <v>-1069839.64004091</v>
      </c>
      <c r="W239" s="39" t="n">
        <f aca="false">DAY(EOMONTH(C239,0))</f>
        <v>31</v>
      </c>
      <c r="X239" s="40" t="n">
        <f aca="false">E239/W239</f>
        <v>71.3225806451613</v>
      </c>
      <c r="Y239" s="39" t="n">
        <f aca="false">R239+S239+T239+U239</f>
        <v>1150607</v>
      </c>
    </row>
    <row r="240" customFormat="false" ht="15" hidden="false" customHeight="false" outlineLevel="0" collapsed="false">
      <c r="A240" s="37" t="str">
        <f aca="false">'Assumptions &amp; Data'!A374</f>
        <v>SM0170</v>
      </c>
      <c r="B240" s="37" t="str">
        <f aca="false">'Assumptions &amp; Data'!B374</f>
        <v>DS015</v>
      </c>
      <c r="C240" s="38" t="n">
        <f aca="false">'Assumptions &amp; Data'!C374</f>
        <v>45962</v>
      </c>
      <c r="D240" s="39" t="str">
        <f aca="false">INDEX('Assumptions &amp; Data'!$B$142:$B$201,MATCH(B240,'Assumptions &amp; Data'!$A$142:$A$201,0))</f>
        <v>Mumbai MMR</v>
      </c>
      <c r="E240" s="37" t="n">
        <f aca="false">'Assumptions &amp; Data'!D374</f>
        <v>2355</v>
      </c>
      <c r="F240" s="39" t="n">
        <f aca="false">E240*'Assumptions &amp; Data'!E374</f>
        <v>1644967.5</v>
      </c>
      <c r="G240" s="39" t="n">
        <f aca="false">F240*'Assumptions &amp; Data'!F374</f>
        <v>141138.2115</v>
      </c>
      <c r="H240" s="39" t="n">
        <f aca="false">F240-G240</f>
        <v>1503829.2885</v>
      </c>
      <c r="I240" s="39" t="n">
        <f aca="false">H240*'Assumptions &amp; Data'!G374</f>
        <v>250387.57653525</v>
      </c>
      <c r="J240" s="39" t="n">
        <f aca="false">E240*'Assumptions &amp; Data'!H374</f>
        <v>28377.75</v>
      </c>
      <c r="K240" s="39" t="n">
        <f aca="false">H240*'Assumptions &amp; Data'!I374</f>
        <v>26467.3954776</v>
      </c>
      <c r="L240" s="39" t="n">
        <f aca="false">H240*'Assumptions &amp; Data'!J374</f>
        <v>56092.83246105</v>
      </c>
      <c r="M240" s="39" t="n">
        <f aca="false">I240+J240+K240-L240</f>
        <v>249139.8895518</v>
      </c>
      <c r="N240" s="39" t="n">
        <f aca="false">E240*'Assumptions &amp; Data'!N374</f>
        <v>122130.3</v>
      </c>
      <c r="O240" s="39" t="n">
        <f aca="false">E240*'Assumptions &amp; Data'!O374</f>
        <v>25386.9</v>
      </c>
      <c r="P240" s="39" t="n">
        <f aca="false">H240*'Assumptions &amp; Data'!P374</f>
        <v>15188.67581385</v>
      </c>
      <c r="Q240" s="39" t="n">
        <f aca="false">M240-N240-O240-P240</f>
        <v>86434.01373795</v>
      </c>
      <c r="R240" s="39" t="n">
        <f aca="false">'Assumptions &amp; Data'!L374*'Assumptions &amp; Data'!M374</f>
        <v>368336</v>
      </c>
      <c r="S240" s="37" t="n">
        <f aca="false">'Assumptions &amp; Data'!Q374</f>
        <v>572000</v>
      </c>
      <c r="T240" s="37" t="n">
        <f aca="false">'Assumptions &amp; Data'!R374</f>
        <v>154332</v>
      </c>
      <c r="U240" s="37" t="n">
        <f aca="false">'Assumptions &amp; Data'!S374</f>
        <v>50759</v>
      </c>
      <c r="V240" s="39" t="n">
        <f aca="false">Q240-R240-S240-T240-U240</f>
        <v>-1058992.98626205</v>
      </c>
      <c r="W240" s="39" t="n">
        <f aca="false">DAY(EOMONTH(C240,0))</f>
        <v>30</v>
      </c>
      <c r="X240" s="40" t="n">
        <f aca="false">E240/W240</f>
        <v>78.5</v>
      </c>
      <c r="Y240" s="39" t="n">
        <f aca="false">R240+S240+T240+U240</f>
        <v>1145427</v>
      </c>
    </row>
    <row r="241" customFormat="false" ht="15" hidden="false" customHeight="false" outlineLevel="0" collapsed="false">
      <c r="A241" s="37" t="str">
        <f aca="false">'Assumptions &amp; Data'!A375</f>
        <v>SM0171</v>
      </c>
      <c r="B241" s="37" t="str">
        <f aca="false">'Assumptions &amp; Data'!B375</f>
        <v>DS015</v>
      </c>
      <c r="C241" s="38" t="n">
        <f aca="false">'Assumptions &amp; Data'!C375</f>
        <v>45992</v>
      </c>
      <c r="D241" s="39" t="str">
        <f aca="false">INDEX('Assumptions &amp; Data'!$B$142:$B$201,MATCH(B241,'Assumptions &amp; Data'!$A$142:$A$201,0))</f>
        <v>Mumbai MMR</v>
      </c>
      <c r="E241" s="37" t="n">
        <f aca="false">'Assumptions &amp; Data'!D375</f>
        <v>2231</v>
      </c>
      <c r="F241" s="39" t="n">
        <f aca="false">E241*'Assumptions &amp; Data'!E375</f>
        <v>1523773</v>
      </c>
      <c r="G241" s="39" t="n">
        <f aca="false">F241*'Assumptions &amp; Data'!F375</f>
        <v>127996.932</v>
      </c>
      <c r="H241" s="39" t="n">
        <f aca="false">F241-G241</f>
        <v>1395776.068</v>
      </c>
      <c r="I241" s="39" t="n">
        <f aca="false">H241*'Assumptions &amp; Data'!G375</f>
        <v>225836.5678024</v>
      </c>
      <c r="J241" s="39" t="n">
        <f aca="false">E241*'Assumptions &amp; Data'!H375</f>
        <v>24384.83</v>
      </c>
      <c r="K241" s="39" t="n">
        <f aca="false">H241*'Assumptions &amp; Data'!I375</f>
        <v>25123.969224</v>
      </c>
      <c r="L241" s="39" t="n">
        <f aca="false">H241*'Assumptions &amp; Data'!J375</f>
        <v>53597.8010112</v>
      </c>
      <c r="M241" s="39" t="n">
        <f aca="false">I241+J241+K241-L241</f>
        <v>221747.5660152</v>
      </c>
      <c r="N241" s="39" t="n">
        <f aca="false">E241*'Assumptions &amp; Data'!N375</f>
        <v>116034.31</v>
      </c>
      <c r="O241" s="39" t="n">
        <f aca="false">E241*'Assumptions &amp; Data'!O375</f>
        <v>24563.31</v>
      </c>
      <c r="P241" s="39" t="n">
        <f aca="false">H241*'Assumptions &amp; Data'!P375</f>
        <v>13818.1830732</v>
      </c>
      <c r="Q241" s="39" t="n">
        <f aca="false">M241-N241-O241-P241</f>
        <v>67331.762942</v>
      </c>
      <c r="R241" s="39" t="n">
        <f aca="false">'Assumptions &amp; Data'!L375*'Assumptions &amp; Data'!M375</f>
        <v>368672</v>
      </c>
      <c r="S241" s="37" t="n">
        <f aca="false">'Assumptions &amp; Data'!Q375</f>
        <v>572000</v>
      </c>
      <c r="T241" s="37" t="n">
        <f aca="false">'Assumptions &amp; Data'!R375</f>
        <v>165941</v>
      </c>
      <c r="U241" s="37" t="n">
        <f aca="false">'Assumptions &amp; Data'!S375</f>
        <v>47385</v>
      </c>
      <c r="V241" s="39" t="n">
        <f aca="false">Q241-R241-S241-T241-U241</f>
        <v>-1086666.237058</v>
      </c>
      <c r="W241" s="39" t="n">
        <f aca="false">DAY(EOMONTH(C241,0))</f>
        <v>31</v>
      </c>
      <c r="X241" s="40" t="n">
        <f aca="false">E241/W241</f>
        <v>71.9677419354839</v>
      </c>
      <c r="Y241" s="39" t="n">
        <f aca="false">R241+S241+T241+U241</f>
        <v>1153998</v>
      </c>
    </row>
    <row r="242" customFormat="false" ht="15" hidden="false" customHeight="false" outlineLevel="0" collapsed="false">
      <c r="A242" s="37" t="str">
        <f aca="false">'Assumptions &amp; Data'!A376</f>
        <v>SM0172</v>
      </c>
      <c r="B242" s="37" t="str">
        <f aca="false">'Assumptions &amp; Data'!B376</f>
        <v>DS015</v>
      </c>
      <c r="C242" s="38" t="n">
        <f aca="false">'Assumptions &amp; Data'!C376</f>
        <v>46023</v>
      </c>
      <c r="D242" s="39" t="str">
        <f aca="false">INDEX('Assumptions &amp; Data'!$B$142:$B$201,MATCH(B242,'Assumptions &amp; Data'!$A$142:$A$201,0))</f>
        <v>Mumbai MMR</v>
      </c>
      <c r="E242" s="37" t="n">
        <f aca="false">'Assumptions &amp; Data'!D376</f>
        <v>2106</v>
      </c>
      <c r="F242" s="39" t="n">
        <f aca="false">E242*'Assumptions &amp; Data'!E376</f>
        <v>1480939.2</v>
      </c>
      <c r="G242" s="39" t="n">
        <f aca="false">F242*'Assumptions &amp; Data'!F376</f>
        <v>126027.92592</v>
      </c>
      <c r="H242" s="39" t="n">
        <f aca="false">F242-G242</f>
        <v>1354911.27408</v>
      </c>
      <c r="I242" s="39" t="n">
        <f aca="false">H242*'Assumptions &amp; Data'!G376</f>
        <v>225321.744879504</v>
      </c>
      <c r="J242" s="39" t="n">
        <f aca="false">E242*'Assumptions &amp; Data'!H376</f>
        <v>24197.94</v>
      </c>
      <c r="K242" s="39" t="n">
        <f aca="false">H242*'Assumptions &amp; Data'!I376</f>
        <v>24930.367443072</v>
      </c>
      <c r="L242" s="39" t="n">
        <f aca="false">H242*'Assumptions &amp; Data'!J376</f>
        <v>51622.119542448</v>
      </c>
      <c r="M242" s="39" t="n">
        <f aca="false">I242+J242+K242-L242</f>
        <v>222827.932780128</v>
      </c>
      <c r="N242" s="39" t="n">
        <f aca="false">E242*'Assumptions &amp; Data'!N376</f>
        <v>109090.8</v>
      </c>
      <c r="O242" s="39" t="n">
        <f aca="false">E242*'Assumptions &amp; Data'!O376</f>
        <v>22955.4</v>
      </c>
      <c r="P242" s="39" t="n">
        <f aca="false">H242*'Assumptions &amp; Data'!P376</f>
        <v>13820.094995616</v>
      </c>
      <c r="Q242" s="39" t="n">
        <f aca="false">M242-N242-O242-P242</f>
        <v>76961.637784512</v>
      </c>
      <c r="R242" s="39" t="n">
        <f aca="false">'Assumptions &amp; Data'!L376*'Assumptions &amp; Data'!M376</f>
        <v>369008</v>
      </c>
      <c r="S242" s="37" t="n">
        <f aca="false">'Assumptions &amp; Data'!Q376</f>
        <v>572000</v>
      </c>
      <c r="T242" s="37" t="n">
        <f aca="false">'Assumptions &amp; Data'!R376</f>
        <v>167046</v>
      </c>
      <c r="U242" s="37" t="n">
        <f aca="false">'Assumptions &amp; Data'!S376</f>
        <v>44418</v>
      </c>
      <c r="V242" s="39" t="n">
        <f aca="false">Q242-R242-S242-T242-U242</f>
        <v>-1075510.36221549</v>
      </c>
      <c r="W242" s="39" t="n">
        <f aca="false">DAY(EOMONTH(C242,0))</f>
        <v>31</v>
      </c>
      <c r="X242" s="40" t="n">
        <f aca="false">E242/W242</f>
        <v>67.9354838709677</v>
      </c>
      <c r="Y242" s="39" t="n">
        <f aca="false">R242+S242+T242+U242</f>
        <v>1152472</v>
      </c>
    </row>
    <row r="243" customFormat="false" ht="15" hidden="false" customHeight="false" outlineLevel="0" collapsed="false">
      <c r="A243" s="37" t="str">
        <f aca="false">'Assumptions &amp; Data'!A377</f>
        <v>SM0173</v>
      </c>
      <c r="B243" s="37" t="str">
        <f aca="false">'Assumptions &amp; Data'!B377</f>
        <v>DS015</v>
      </c>
      <c r="C243" s="38" t="n">
        <f aca="false">'Assumptions &amp; Data'!C377</f>
        <v>46054</v>
      </c>
      <c r="D243" s="39" t="str">
        <f aca="false">INDEX('Assumptions &amp; Data'!$B$142:$B$201,MATCH(B243,'Assumptions &amp; Data'!$A$142:$A$201,0))</f>
        <v>Mumbai MMR</v>
      </c>
      <c r="E243" s="37" t="n">
        <f aca="false">'Assumptions &amp; Data'!D377</f>
        <v>1904</v>
      </c>
      <c r="F243" s="39" t="n">
        <f aca="false">E243*'Assumptions &amp; Data'!E377</f>
        <v>1329372.8</v>
      </c>
      <c r="G243" s="39" t="n">
        <f aca="false">F243*'Assumptions &amp; Data'!F377</f>
        <v>112199.06432</v>
      </c>
      <c r="H243" s="39" t="n">
        <f aca="false">F243-G243</f>
        <v>1217173.73568</v>
      </c>
      <c r="I243" s="39" t="n">
        <f aca="false">H243*'Assumptions &amp; Data'!G377</f>
        <v>201077.101134336</v>
      </c>
      <c r="J243" s="39" t="n">
        <f aca="false">E243*'Assumptions &amp; Data'!H377</f>
        <v>20658.4</v>
      </c>
      <c r="K243" s="39" t="n">
        <f aca="false">H243*'Assumptions &amp; Data'!I377</f>
        <v>19718.214518016</v>
      </c>
      <c r="L243" s="39" t="n">
        <f aca="false">H243*'Assumptions &amp; Data'!J377</f>
        <v>45522.297714432</v>
      </c>
      <c r="M243" s="39" t="n">
        <f aca="false">I243+J243+K243-L243</f>
        <v>195931.41793792</v>
      </c>
      <c r="N243" s="39" t="n">
        <f aca="false">E243*'Assumptions &amp; Data'!N377</f>
        <v>100226.56</v>
      </c>
      <c r="O243" s="39" t="n">
        <f aca="false">E243*'Assumptions &amp; Data'!O377</f>
        <v>20277.6</v>
      </c>
      <c r="P243" s="39" t="n">
        <f aca="false">H243*'Assumptions &amp; Data'!P377</f>
        <v>12415.172103936</v>
      </c>
      <c r="Q243" s="39" t="n">
        <f aca="false">M243-N243-O243-P243</f>
        <v>63012.085833984</v>
      </c>
      <c r="R243" s="39" t="n">
        <f aca="false">'Assumptions &amp; Data'!L377*'Assumptions &amp; Data'!M377</f>
        <v>369344</v>
      </c>
      <c r="S243" s="37" t="n">
        <f aca="false">'Assumptions &amp; Data'!Q377</f>
        <v>572000</v>
      </c>
      <c r="T243" s="37" t="n">
        <f aca="false">'Assumptions &amp; Data'!R377</f>
        <v>160894</v>
      </c>
      <c r="U243" s="37" t="n">
        <f aca="false">'Assumptions &amp; Data'!S377</f>
        <v>42181</v>
      </c>
      <c r="V243" s="39" t="n">
        <f aca="false">Q243-R243-S243-T243-U243</f>
        <v>-1081406.91416602</v>
      </c>
      <c r="W243" s="39" t="n">
        <f aca="false">DAY(EOMONTH(C243,0))</f>
        <v>28</v>
      </c>
      <c r="X243" s="40" t="n">
        <f aca="false">E243/W243</f>
        <v>68</v>
      </c>
      <c r="Y243" s="39" t="n">
        <f aca="false">R243+S243+T243+U243</f>
        <v>1144419</v>
      </c>
    </row>
    <row r="244" customFormat="false" ht="15" hidden="false" customHeight="false" outlineLevel="0" collapsed="false">
      <c r="A244" s="37" t="str">
        <f aca="false">'Assumptions &amp; Data'!A378</f>
        <v>SM0174</v>
      </c>
      <c r="B244" s="37" t="str">
        <f aca="false">'Assumptions &amp; Data'!B378</f>
        <v>DS015</v>
      </c>
      <c r="C244" s="38" t="n">
        <f aca="false">'Assumptions &amp; Data'!C378</f>
        <v>46082</v>
      </c>
      <c r="D244" s="39" t="str">
        <f aca="false">INDEX('Assumptions &amp; Data'!$B$142:$B$201,MATCH(B244,'Assumptions &amp; Data'!$A$142:$A$201,0))</f>
        <v>Mumbai MMR</v>
      </c>
      <c r="E244" s="37" t="n">
        <f aca="false">'Assumptions &amp; Data'!D378</f>
        <v>2351</v>
      </c>
      <c r="F244" s="39" t="n">
        <f aca="false">E244*'Assumptions &amp; Data'!E378</f>
        <v>1666388.8</v>
      </c>
      <c r="G244" s="39" t="n">
        <f aca="false">F244*'Assumptions &amp; Data'!F378</f>
        <v>143642.71456</v>
      </c>
      <c r="H244" s="39" t="n">
        <f aca="false">F244-G244</f>
        <v>1522746.08544</v>
      </c>
      <c r="I244" s="39" t="n">
        <f aca="false">H244*'Assumptions &amp; Data'!G378</f>
        <v>256734.990005184</v>
      </c>
      <c r="J244" s="39" t="n">
        <f aca="false">E244*'Assumptions &amp; Data'!H378</f>
        <v>27436.17</v>
      </c>
      <c r="K244" s="39" t="n">
        <f aca="false">H244*'Assumptions &amp; Data'!I378</f>
        <v>27561.704146464</v>
      </c>
      <c r="L244" s="39" t="n">
        <f aca="false">H244*'Assumptions &amp; Data'!J378</f>
        <v>58016.625855264</v>
      </c>
      <c r="M244" s="39" t="n">
        <f aca="false">I244+J244+K244-L244</f>
        <v>253716.238296384</v>
      </c>
      <c r="N244" s="39" t="n">
        <f aca="false">E244*'Assumptions &amp; Data'!N378</f>
        <v>123027.83</v>
      </c>
      <c r="O244" s="39" t="n">
        <f aca="false">E244*'Assumptions &amp; Data'!O378</f>
        <v>26425.24</v>
      </c>
      <c r="P244" s="39" t="n">
        <f aca="false">H244*'Assumptions &amp; Data'!P378</f>
        <v>15227.4608544</v>
      </c>
      <c r="Q244" s="39" t="n">
        <f aca="false">M244-N244-O244-P244</f>
        <v>89035.707441984</v>
      </c>
      <c r="R244" s="39" t="n">
        <f aca="false">'Assumptions &amp; Data'!L378*'Assumptions &amp; Data'!M378</f>
        <v>369680</v>
      </c>
      <c r="S244" s="37" t="n">
        <f aca="false">'Assumptions &amp; Data'!Q378</f>
        <v>572000</v>
      </c>
      <c r="T244" s="37" t="n">
        <f aca="false">'Assumptions &amp; Data'!R378</f>
        <v>175783</v>
      </c>
      <c r="U244" s="37" t="n">
        <f aca="false">'Assumptions &amp; Data'!S378</f>
        <v>51389</v>
      </c>
      <c r="V244" s="39" t="n">
        <f aca="false">Q244-R244-S244-T244-U244</f>
        <v>-1079816.29255802</v>
      </c>
      <c r="W244" s="39" t="n">
        <f aca="false">DAY(EOMONTH(C244,0))</f>
        <v>31</v>
      </c>
      <c r="X244" s="40" t="n">
        <f aca="false">E244/W244</f>
        <v>75.8387096774194</v>
      </c>
      <c r="Y244" s="39" t="n">
        <f aca="false">R244+S244+T244+U244</f>
        <v>1168852</v>
      </c>
    </row>
    <row r="245" customFormat="false" ht="15" hidden="false" customHeight="false" outlineLevel="0" collapsed="false">
      <c r="A245" s="37" t="str">
        <f aca="false">'Assumptions &amp; Data'!A379</f>
        <v>SM0175</v>
      </c>
      <c r="B245" s="37" t="str">
        <f aca="false">'Assumptions &amp; Data'!B379</f>
        <v>DS015</v>
      </c>
      <c r="C245" s="38" t="n">
        <f aca="false">'Assumptions &amp; Data'!C379</f>
        <v>46113</v>
      </c>
      <c r="D245" s="39" t="str">
        <f aca="false">INDEX('Assumptions &amp; Data'!$B$142:$B$201,MATCH(B245,'Assumptions &amp; Data'!$A$142:$A$201,0))</f>
        <v>Mumbai MMR</v>
      </c>
      <c r="E245" s="37" t="n">
        <f aca="false">'Assumptions &amp; Data'!D379</f>
        <v>4673</v>
      </c>
      <c r="F245" s="39" t="n">
        <f aca="false">E245*'Assumptions &amp; Data'!E379</f>
        <v>3332316.3</v>
      </c>
      <c r="G245" s="39" t="n">
        <f aca="false">F245*'Assumptions &amp; Data'!F379</f>
        <v>267918.23052</v>
      </c>
      <c r="H245" s="39" t="n">
        <f aca="false">F245-G245</f>
        <v>3064398.06948</v>
      </c>
      <c r="I245" s="39" t="n">
        <f aca="false">H245*'Assumptions &amp; Data'!G379</f>
        <v>508383.639726732</v>
      </c>
      <c r="J245" s="39" t="n">
        <f aca="false">E245*'Assumptions &amp; Data'!H379</f>
        <v>55047.94</v>
      </c>
      <c r="K245" s="39" t="n">
        <f aca="false">H245*'Assumptions &amp; Data'!I379</f>
        <v>55159.16525064</v>
      </c>
      <c r="L245" s="39" t="n">
        <f aca="false">H245*'Assumptions &amp; Data'!J379</f>
        <v>110318.33050128</v>
      </c>
      <c r="M245" s="39" t="n">
        <f aca="false">I245+J245+K245-L245</f>
        <v>508272.414476092</v>
      </c>
      <c r="N245" s="39" t="n">
        <f aca="false">E245*'Assumptions &amp; Data'!N379</f>
        <v>238229.54</v>
      </c>
      <c r="O245" s="39" t="n">
        <f aca="false">E245*'Assumptions &amp; Data'!O379</f>
        <v>52150.68</v>
      </c>
      <c r="P245" s="39" t="n">
        <f aca="false">H245*'Assumptions &amp; Data'!P379</f>
        <v>31563.300115644</v>
      </c>
      <c r="Q245" s="39" t="n">
        <f aca="false">M245-N245-O245-P245</f>
        <v>186328.894360448</v>
      </c>
      <c r="R245" s="39" t="n">
        <f aca="false">'Assumptions &amp; Data'!L379*'Assumptions &amp; Data'!M379</f>
        <v>370000</v>
      </c>
      <c r="S245" s="37" t="n">
        <f aca="false">'Assumptions &amp; Data'!Q379</f>
        <v>572000</v>
      </c>
      <c r="T245" s="37" t="n">
        <f aca="false">'Assumptions &amp; Data'!R379</f>
        <v>151293</v>
      </c>
      <c r="U245" s="37" t="n">
        <f aca="false">'Assumptions &amp; Data'!S379</f>
        <v>93292</v>
      </c>
      <c r="V245" s="39" t="n">
        <f aca="false">Q245-R245-S245-T245-U245</f>
        <v>-1000256.10563955</v>
      </c>
      <c r="W245" s="39" t="n">
        <f aca="false">DAY(EOMONTH(C245,0))</f>
        <v>30</v>
      </c>
      <c r="X245" s="40" t="n">
        <f aca="false">E245/W245</f>
        <v>155.766666666667</v>
      </c>
      <c r="Y245" s="39" t="n">
        <f aca="false">R245+S245+T245+U245</f>
        <v>1186585</v>
      </c>
    </row>
    <row r="246" customFormat="false" ht="15" hidden="false" customHeight="false" outlineLevel="0" collapsed="false">
      <c r="A246" s="37" t="str">
        <f aca="false">'Assumptions &amp; Data'!A380</f>
        <v>SM0176</v>
      </c>
      <c r="B246" s="37" t="str">
        <f aca="false">'Assumptions &amp; Data'!B380</f>
        <v>DS015</v>
      </c>
      <c r="C246" s="38" t="n">
        <f aca="false">'Assumptions &amp; Data'!C380</f>
        <v>46143</v>
      </c>
      <c r="D246" s="39" t="str">
        <f aca="false">INDEX('Assumptions &amp; Data'!$B$142:$B$201,MATCH(B246,'Assumptions &amp; Data'!$A$142:$A$201,0))</f>
        <v>Mumbai MMR</v>
      </c>
      <c r="E246" s="37" t="n">
        <f aca="false">'Assumptions &amp; Data'!D380</f>
        <v>6303</v>
      </c>
      <c r="F246" s="39" t="n">
        <f aca="false">E246*'Assumptions &amp; Data'!E380</f>
        <v>4309361.1</v>
      </c>
      <c r="G246" s="39" t="n">
        <f aca="false">F246*'Assumptions &amp; Data'!F380</f>
        <v>335268.29358</v>
      </c>
      <c r="H246" s="39" t="n">
        <f aca="false">F246-G246</f>
        <v>3974092.80642</v>
      </c>
      <c r="I246" s="39" t="n">
        <f aca="false">H246*'Assumptions &amp; Data'!G380</f>
        <v>665660.54507535</v>
      </c>
      <c r="J246" s="39" t="n">
        <f aca="false">E246*'Assumptions &amp; Data'!H380</f>
        <v>72736.62</v>
      </c>
      <c r="K246" s="39" t="n">
        <f aca="false">H246*'Assumptions &amp; Data'!I380</f>
        <v>77097.400444548</v>
      </c>
      <c r="L246" s="39" t="n">
        <f aca="false">H246*'Assumptions &amp; Data'!J380</f>
        <v>138298.429663416</v>
      </c>
      <c r="M246" s="39" t="n">
        <f aca="false">I246+J246+K246-L246</f>
        <v>677196.135856482</v>
      </c>
      <c r="N246" s="39" t="n">
        <f aca="false">E246*'Assumptions &amp; Data'!N380</f>
        <v>321516.03</v>
      </c>
      <c r="O246" s="39" t="n">
        <f aca="false">E246*'Assumptions &amp; Data'!O380</f>
        <v>68387.55</v>
      </c>
      <c r="P246" s="39" t="n">
        <f aca="false">H246*'Assumptions &amp; Data'!P380</f>
        <v>38548.700222274</v>
      </c>
      <c r="Q246" s="39" t="n">
        <f aca="false">M246-N246-O246-P246</f>
        <v>248743.855634208</v>
      </c>
      <c r="R246" s="39" t="n">
        <f aca="false">'Assumptions &amp; Data'!L380*'Assumptions &amp; Data'!M380</f>
        <v>370336</v>
      </c>
      <c r="S246" s="37" t="n">
        <f aca="false">'Assumptions &amp; Data'!Q380</f>
        <v>572000</v>
      </c>
      <c r="T246" s="37" t="n">
        <f aca="false">'Assumptions &amp; Data'!R380</f>
        <v>167233</v>
      </c>
      <c r="U246" s="37" t="n">
        <f aca="false">'Assumptions &amp; Data'!S380</f>
        <v>110559</v>
      </c>
      <c r="V246" s="39" t="n">
        <f aca="false">Q246-R246-S246-T246-U246</f>
        <v>-971384.144365792</v>
      </c>
      <c r="W246" s="39" t="n">
        <f aca="false">DAY(EOMONTH(C246,0))</f>
        <v>31</v>
      </c>
      <c r="X246" s="40" t="n">
        <f aca="false">E246/W246</f>
        <v>203.322580645161</v>
      </c>
      <c r="Y246" s="39" t="n">
        <f aca="false">R246+S246+T246+U246</f>
        <v>1220128</v>
      </c>
    </row>
    <row r="247" customFormat="false" ht="15" hidden="false" customHeight="false" outlineLevel="0" collapsed="false">
      <c r="A247" s="37" t="str">
        <f aca="false">'Assumptions &amp; Data'!A381</f>
        <v>SM0177</v>
      </c>
      <c r="B247" s="37" t="str">
        <f aca="false">'Assumptions &amp; Data'!B381</f>
        <v>DS015</v>
      </c>
      <c r="C247" s="38" t="n">
        <f aca="false">'Assumptions &amp; Data'!C381</f>
        <v>46174</v>
      </c>
      <c r="D247" s="39" t="str">
        <f aca="false">INDEX('Assumptions &amp; Data'!$B$142:$B$201,MATCH(B247,'Assumptions &amp; Data'!$A$142:$A$201,0))</f>
        <v>Mumbai MMR</v>
      </c>
      <c r="E247" s="37" t="n">
        <f aca="false">'Assumptions &amp; Data'!D381</f>
        <v>7684</v>
      </c>
      <c r="F247" s="39" t="n">
        <f aca="false">E247*'Assumptions &amp; Data'!E381</f>
        <v>5461018.8</v>
      </c>
      <c r="G247" s="39" t="n">
        <f aca="false">F247*'Assumptions &amp; Data'!F381</f>
        <v>397562.16864</v>
      </c>
      <c r="H247" s="39" t="n">
        <f aca="false">F247-G247</f>
        <v>5063456.63136</v>
      </c>
      <c r="I247" s="39" t="n">
        <f aca="false">H247*'Assumptions &amp; Data'!G381</f>
        <v>845597.25743712</v>
      </c>
      <c r="J247" s="39" t="n">
        <f aca="false">E247*'Assumptions &amp; Data'!H381</f>
        <v>92592.2</v>
      </c>
      <c r="K247" s="39" t="n">
        <f aca="false">H247*'Assumptions &amp; Data'!I381</f>
        <v>105826.243595424</v>
      </c>
      <c r="L247" s="39" t="n">
        <f aca="false">H247*'Assumptions &amp; Data'!J381</f>
        <v>169625.79715056</v>
      </c>
      <c r="M247" s="39" t="n">
        <f aca="false">I247+J247+K247-L247</f>
        <v>874389.903881984</v>
      </c>
      <c r="N247" s="39" t="n">
        <f aca="false">E247*'Assumptions &amp; Data'!N381</f>
        <v>385736.8</v>
      </c>
      <c r="O247" s="39" t="n">
        <f aca="false">E247*'Assumptions &amp; Data'!O381</f>
        <v>82987.2</v>
      </c>
      <c r="P247" s="39" t="n">
        <f aca="false">H247*'Assumptions &amp; Data'!P381</f>
        <v>48609.183661056</v>
      </c>
      <c r="Q247" s="39" t="n">
        <f aca="false">M247-N247-O247-P247</f>
        <v>357056.720220928</v>
      </c>
      <c r="R247" s="39" t="n">
        <f aca="false">'Assumptions &amp; Data'!L381*'Assumptions &amp; Data'!M381</f>
        <v>370672</v>
      </c>
      <c r="S247" s="37" t="n">
        <f aca="false">'Assumptions &amp; Data'!Q381</f>
        <v>572000</v>
      </c>
      <c r="T247" s="37" t="n">
        <f aca="false">'Assumptions &amp; Data'!R381</f>
        <v>175059</v>
      </c>
      <c r="U247" s="37" t="n">
        <f aca="false">'Assumptions &amp; Data'!S381</f>
        <v>124992</v>
      </c>
      <c r="V247" s="39" t="n">
        <f aca="false">Q247-R247-S247-T247-U247</f>
        <v>-885666.279779072</v>
      </c>
      <c r="W247" s="39" t="n">
        <f aca="false">DAY(EOMONTH(C247,0))</f>
        <v>30</v>
      </c>
      <c r="X247" s="40" t="n">
        <f aca="false">E247/W247</f>
        <v>256.133333333333</v>
      </c>
      <c r="Y247" s="39" t="n">
        <f aca="false">R247+S247+T247+U247</f>
        <v>1242723</v>
      </c>
    </row>
    <row r="248" customFormat="false" ht="15" hidden="false" customHeight="false" outlineLevel="0" collapsed="false">
      <c r="A248" s="37" t="str">
        <f aca="false">'Assumptions &amp; Data'!A382</f>
        <v>SM0178</v>
      </c>
      <c r="B248" s="37" t="str">
        <f aca="false">'Assumptions &amp; Data'!B382</f>
        <v>DS015</v>
      </c>
      <c r="C248" s="38" t="n">
        <f aca="false">'Assumptions &amp; Data'!C382</f>
        <v>46204</v>
      </c>
      <c r="D248" s="39" t="str">
        <f aca="false">INDEX('Assumptions &amp; Data'!$B$142:$B$201,MATCH(B248,'Assumptions &amp; Data'!$A$142:$A$201,0))</f>
        <v>Mumbai MMR</v>
      </c>
      <c r="E248" s="37" t="n">
        <f aca="false">'Assumptions &amp; Data'!D382</f>
        <v>8633</v>
      </c>
      <c r="F248" s="39" t="n">
        <f aca="false">E248*'Assumptions &amp; Data'!E382</f>
        <v>5947273.7</v>
      </c>
      <c r="G248" s="39" t="n">
        <f aca="false">F248*'Assumptions &amp; Data'!F382</f>
        <v>425824.79692</v>
      </c>
      <c r="H248" s="39" t="n">
        <f aca="false">F248-G248</f>
        <v>5521448.90308</v>
      </c>
      <c r="I248" s="39" t="n">
        <f aca="false">H248*'Assumptions &amp; Data'!G382</f>
        <v>926499.125936824</v>
      </c>
      <c r="J248" s="39" t="n">
        <f aca="false">E248*'Assumptions &amp; Data'!H382</f>
        <v>101610.41</v>
      </c>
      <c r="K248" s="39" t="n">
        <f aca="false">H248*'Assumptions &amp; Data'!I382</f>
        <v>119263.296306528</v>
      </c>
      <c r="L248" s="39" t="n">
        <f aca="false">H248*'Assumptions &amp; Data'!J382</f>
        <v>184416.393362872</v>
      </c>
      <c r="M248" s="39" t="n">
        <f aca="false">I248+J248+K248-L248</f>
        <v>962956.43888048</v>
      </c>
      <c r="N248" s="39" t="n">
        <f aca="false">E248*'Assumptions &amp; Data'!N382</f>
        <v>426556.53</v>
      </c>
      <c r="O248" s="39" t="n">
        <f aca="false">E248*'Assumptions &amp; Data'!O382</f>
        <v>95394.65</v>
      </c>
      <c r="P248" s="39" t="n">
        <f aca="false">H248*'Assumptions &amp; Data'!P382</f>
        <v>55214.4890308</v>
      </c>
      <c r="Q248" s="39" t="n">
        <f aca="false">M248-N248-O248-P248</f>
        <v>385790.76984968</v>
      </c>
      <c r="R248" s="39" t="n">
        <f aca="false">'Assumptions &amp; Data'!L382*'Assumptions &amp; Data'!M382</f>
        <v>371008</v>
      </c>
      <c r="S248" s="37" t="n">
        <f aca="false">'Assumptions &amp; Data'!Q382</f>
        <v>572000</v>
      </c>
      <c r="T248" s="37" t="n">
        <f aca="false">'Assumptions &amp; Data'!R382</f>
        <v>157588</v>
      </c>
      <c r="U248" s="37" t="n">
        <f aca="false">'Assumptions &amp; Data'!S382</f>
        <v>130882</v>
      </c>
      <c r="V248" s="39" t="n">
        <f aca="false">Q248-R248-S248-T248-U248</f>
        <v>-845687.23015032</v>
      </c>
      <c r="W248" s="39" t="n">
        <f aca="false">DAY(EOMONTH(C248,0))</f>
        <v>31</v>
      </c>
      <c r="X248" s="40" t="n">
        <f aca="false">E248/W248</f>
        <v>278.483870967742</v>
      </c>
      <c r="Y248" s="39" t="n">
        <f aca="false">R248+S248+T248+U248</f>
        <v>1231478</v>
      </c>
    </row>
    <row r="249" customFormat="false" ht="15" hidden="false" customHeight="false" outlineLevel="0" collapsed="false">
      <c r="A249" s="37" t="str">
        <f aca="false">'Assumptions &amp; Data'!A383</f>
        <v>SM0179</v>
      </c>
      <c r="B249" s="37" t="str">
        <f aca="false">'Assumptions &amp; Data'!B383</f>
        <v>DS015</v>
      </c>
      <c r="C249" s="38" t="n">
        <f aca="false">'Assumptions &amp; Data'!C383</f>
        <v>46235</v>
      </c>
      <c r="D249" s="39" t="str">
        <f aca="false">INDEX('Assumptions &amp; Data'!$B$142:$B$201,MATCH(B249,'Assumptions &amp; Data'!$A$142:$A$201,0))</f>
        <v>Mumbai MMR</v>
      </c>
      <c r="E249" s="37" t="n">
        <f aca="false">'Assumptions &amp; Data'!D383</f>
        <v>10906</v>
      </c>
      <c r="F249" s="39" t="n">
        <f aca="false">E249*'Assumptions &amp; Data'!E383</f>
        <v>7563311</v>
      </c>
      <c r="G249" s="39" t="n">
        <f aca="false">F249*'Assumptions &amp; Data'!F383</f>
        <v>523381.1212</v>
      </c>
      <c r="H249" s="39" t="n">
        <f aca="false">F249-G249</f>
        <v>7039929.8788</v>
      </c>
      <c r="I249" s="39" t="n">
        <f aca="false">H249*'Assumptions &amp; Data'!G383</f>
        <v>1192564.12146872</v>
      </c>
      <c r="J249" s="39" t="n">
        <f aca="false">E249*'Assumptions &amp; Data'!H383</f>
        <v>122256.26</v>
      </c>
      <c r="K249" s="39" t="n">
        <f aca="false">H249*'Assumptions &amp; Data'!I383</f>
        <v>136574.63964872</v>
      </c>
      <c r="L249" s="39" t="n">
        <f aca="false">H249*'Assumptions &amp; Data'!J383</f>
        <v>227389.73508524</v>
      </c>
      <c r="M249" s="39" t="n">
        <f aca="false">I249+J249+K249-L249</f>
        <v>1224005.2860322</v>
      </c>
      <c r="N249" s="39" t="n">
        <f aca="false">E249*'Assumptions &amp; Data'!N383</f>
        <v>531558.44</v>
      </c>
      <c r="O249" s="39" t="n">
        <f aca="false">E249*'Assumptions &amp; Data'!O383</f>
        <v>118002.92</v>
      </c>
      <c r="P249" s="39" t="n">
        <f aca="false">H249*'Assumptions &amp; Data'!P383</f>
        <v>65471.34787284</v>
      </c>
      <c r="Q249" s="39" t="n">
        <f aca="false">M249-N249-O249-P249</f>
        <v>508972.57815936</v>
      </c>
      <c r="R249" s="39" t="n">
        <f aca="false">'Assumptions &amp; Data'!L383*'Assumptions &amp; Data'!M383</f>
        <v>371344</v>
      </c>
      <c r="S249" s="37" t="n">
        <f aca="false">'Assumptions &amp; Data'!Q383</f>
        <v>572000</v>
      </c>
      <c r="T249" s="37" t="n">
        <f aca="false">'Assumptions &amp; Data'!R383</f>
        <v>167879</v>
      </c>
      <c r="U249" s="37" t="n">
        <f aca="false">'Assumptions &amp; Data'!S383</f>
        <v>153422</v>
      </c>
      <c r="V249" s="39" t="n">
        <f aca="false">Q249-R249-S249-T249-U249</f>
        <v>-755672.42184064</v>
      </c>
      <c r="W249" s="39" t="n">
        <f aca="false">DAY(EOMONTH(C249,0))</f>
        <v>31</v>
      </c>
      <c r="X249" s="40" t="n">
        <f aca="false">E249/W249</f>
        <v>351.806451612903</v>
      </c>
      <c r="Y249" s="39" t="n">
        <f aca="false">R249+S249+T249+U249</f>
        <v>1264645</v>
      </c>
    </row>
    <row r="250" customFormat="false" ht="15" hidden="false" customHeight="false" outlineLevel="0" collapsed="false">
      <c r="A250" s="37" t="str">
        <f aca="false">'Assumptions &amp; Data'!A384</f>
        <v>SM0180</v>
      </c>
      <c r="B250" s="37" t="str">
        <f aca="false">'Assumptions &amp; Data'!B384</f>
        <v>DS015</v>
      </c>
      <c r="C250" s="38" t="n">
        <f aca="false">'Assumptions &amp; Data'!C384</f>
        <v>46266</v>
      </c>
      <c r="D250" s="39" t="str">
        <f aca="false">INDEX('Assumptions &amp; Data'!$B$142:$B$201,MATCH(B250,'Assumptions &amp; Data'!$A$142:$A$201,0))</f>
        <v>Mumbai MMR</v>
      </c>
      <c r="E250" s="37" t="n">
        <f aca="false">'Assumptions &amp; Data'!D384</f>
        <v>11772</v>
      </c>
      <c r="F250" s="39" t="n">
        <f aca="false">E250*'Assumptions &amp; Data'!E384</f>
        <v>8066174.4</v>
      </c>
      <c r="G250" s="39" t="n">
        <f aca="false">F250*'Assumptions &amp; Data'!F384</f>
        <v>547693.24176</v>
      </c>
      <c r="H250" s="39" t="n">
        <f aca="false">F250-G250</f>
        <v>7518481.15824</v>
      </c>
      <c r="I250" s="39" t="n">
        <f aca="false">H250*'Assumptions &amp; Data'!G384</f>
        <v>1275134.4044375</v>
      </c>
      <c r="J250" s="39" t="n">
        <f aca="false">E250*'Assumptions &amp; Data'!H384</f>
        <v>129374.28</v>
      </c>
      <c r="K250" s="39" t="n">
        <f aca="false">H250*'Assumptions &amp; Data'!I384</f>
        <v>160895.496786336</v>
      </c>
      <c r="L250" s="39" t="n">
        <f aca="false">H250*'Assumptions &amp; Data'!J384</f>
        <v>235328.460252912</v>
      </c>
      <c r="M250" s="39" t="n">
        <f aca="false">I250+J250+K250-L250</f>
        <v>1330075.72097093</v>
      </c>
      <c r="N250" s="39" t="n">
        <f aca="false">E250*'Assumptions &amp; Data'!N384</f>
        <v>571530.6</v>
      </c>
      <c r="O250" s="39" t="n">
        <f aca="false">E250*'Assumptions &amp; Data'!O384</f>
        <v>125371.8</v>
      </c>
      <c r="P250" s="39" t="n">
        <f aca="false">H250*'Assumptions &amp; Data'!P384</f>
        <v>75936.659698224</v>
      </c>
      <c r="Q250" s="39" t="n">
        <f aca="false">M250-N250-O250-P250</f>
        <v>557236.661272704</v>
      </c>
      <c r="R250" s="39" t="n">
        <f aca="false">'Assumptions &amp; Data'!L384*'Assumptions &amp; Data'!M384</f>
        <v>371680</v>
      </c>
      <c r="S250" s="37" t="n">
        <f aca="false">'Assumptions &amp; Data'!Q384</f>
        <v>572000</v>
      </c>
      <c r="T250" s="37" t="n">
        <f aca="false">'Assumptions &amp; Data'!R384</f>
        <v>164274</v>
      </c>
      <c r="U250" s="37" t="n">
        <f aca="false">'Assumptions &amp; Data'!S384</f>
        <v>148346</v>
      </c>
      <c r="V250" s="39" t="n">
        <f aca="false">Q250-R250-S250-T250-U250</f>
        <v>-699063.338727296</v>
      </c>
      <c r="W250" s="39" t="n">
        <f aca="false">DAY(EOMONTH(C250,0))</f>
        <v>30</v>
      </c>
      <c r="X250" s="40" t="n">
        <f aca="false">E250/W250</f>
        <v>392.4</v>
      </c>
      <c r="Y250" s="39" t="n">
        <f aca="false">R250+S250+T250+U250</f>
        <v>1256300</v>
      </c>
    </row>
    <row r="251" customFormat="false" ht="15" hidden="false" customHeight="false" outlineLevel="0" collapsed="false">
      <c r="A251" s="37" t="str">
        <f aca="false">'Assumptions &amp; Data'!A385</f>
        <v>SM0181</v>
      </c>
      <c r="B251" s="37" t="str">
        <f aca="false">'Assumptions &amp; Data'!B385</f>
        <v>DS016</v>
      </c>
      <c r="C251" s="38" t="n">
        <f aca="false">'Assumptions &amp; Data'!C385</f>
        <v>45931</v>
      </c>
      <c r="D251" s="39" t="str">
        <f aca="false">INDEX('Assumptions &amp; Data'!$B$142:$B$201,MATCH(B251,'Assumptions &amp; Data'!$A$142:$A$201,0))</f>
        <v>Mumbai MMR</v>
      </c>
      <c r="E251" s="37" t="n">
        <f aca="false">'Assumptions &amp; Data'!D385</f>
        <v>9103</v>
      </c>
      <c r="F251" s="39" t="n">
        <f aca="false">E251*'Assumptions &amp; Data'!E385</f>
        <v>6038019.9</v>
      </c>
      <c r="G251" s="39" t="n">
        <f aca="false">F251*'Assumptions &amp; Data'!F385</f>
        <v>461304.72036</v>
      </c>
      <c r="H251" s="39" t="n">
        <f aca="false">F251-G251</f>
        <v>5576715.17964</v>
      </c>
      <c r="I251" s="39" t="n">
        <f aca="false">H251*'Assumptions &amp; Data'!G385</f>
        <v>936330.478661556</v>
      </c>
      <c r="J251" s="39" t="n">
        <f aca="false">E251*'Assumptions &amp; Data'!H385</f>
        <v>114515.74</v>
      </c>
      <c r="K251" s="39" t="n">
        <f aca="false">H251*'Assumptions &amp; Data'!I385</f>
        <v>116553.347254476</v>
      </c>
      <c r="L251" s="39" t="n">
        <f aca="false">H251*'Assumptions &amp; Data'!J385</f>
        <v>158936.38261974</v>
      </c>
      <c r="M251" s="39" t="n">
        <f aca="false">I251+J251+K251-L251</f>
        <v>1008463.18329629</v>
      </c>
      <c r="N251" s="39" t="n">
        <f aca="false">E251*'Assumptions &amp; Data'!N385</f>
        <v>453329.4</v>
      </c>
      <c r="O251" s="39" t="n">
        <f aca="false">E251*'Assumptions &amp; Data'!O385</f>
        <v>97220.04</v>
      </c>
      <c r="P251" s="39" t="n">
        <f aca="false">H251*'Assumptions &amp; Data'!P385</f>
        <v>56324.823314364</v>
      </c>
      <c r="Q251" s="39" t="n">
        <f aca="false">M251-N251-O251-P251</f>
        <v>401588.919981928</v>
      </c>
      <c r="R251" s="39" t="n">
        <f aca="false">'Assumptions &amp; Data'!L385*'Assumptions &amp; Data'!M385</f>
        <v>368000</v>
      </c>
      <c r="S251" s="37" t="n">
        <f aca="false">'Assumptions &amp; Data'!Q385</f>
        <v>1430000</v>
      </c>
      <c r="T251" s="37" t="n">
        <f aca="false">'Assumptions &amp; Data'!R385</f>
        <v>196253</v>
      </c>
      <c r="U251" s="37" t="n">
        <f aca="false">'Assumptions &amp; Data'!S385</f>
        <v>160192</v>
      </c>
      <c r="V251" s="39" t="n">
        <f aca="false">Q251-R251-S251-T251-U251</f>
        <v>-1752856.08001807</v>
      </c>
      <c r="W251" s="39" t="n">
        <f aca="false">DAY(EOMONTH(C251,0))</f>
        <v>31</v>
      </c>
      <c r="X251" s="40" t="n">
        <f aca="false">E251/W251</f>
        <v>293.645161290323</v>
      </c>
      <c r="Y251" s="39" t="n">
        <f aca="false">R251+S251+T251+U251</f>
        <v>2154445</v>
      </c>
    </row>
    <row r="252" customFormat="false" ht="15" hidden="false" customHeight="false" outlineLevel="0" collapsed="false">
      <c r="A252" s="37" t="str">
        <f aca="false">'Assumptions &amp; Data'!A386</f>
        <v>SM0182</v>
      </c>
      <c r="B252" s="37" t="str">
        <f aca="false">'Assumptions &amp; Data'!B386</f>
        <v>DS016</v>
      </c>
      <c r="C252" s="38" t="n">
        <f aca="false">'Assumptions &amp; Data'!C386</f>
        <v>45962</v>
      </c>
      <c r="D252" s="39" t="str">
        <f aca="false">INDEX('Assumptions &amp; Data'!$B$142:$B$201,MATCH(B252,'Assumptions &amp; Data'!$A$142:$A$201,0))</f>
        <v>Mumbai MMR</v>
      </c>
      <c r="E252" s="37" t="n">
        <f aca="false">'Assumptions &amp; Data'!D386</f>
        <v>10711</v>
      </c>
      <c r="F252" s="39" t="n">
        <f aca="false">E252*'Assumptions &amp; Data'!E386</f>
        <v>7363812.5</v>
      </c>
      <c r="G252" s="39" t="n">
        <f aca="false">F252*'Assumptions &amp; Data'!F386</f>
        <v>515466.875</v>
      </c>
      <c r="H252" s="39" t="n">
        <f aca="false">F252-G252</f>
        <v>6848345.625</v>
      </c>
      <c r="I252" s="39" t="n">
        <f aca="false">H252*'Assumptions &amp; Data'!G386</f>
        <v>1153946.2378125</v>
      </c>
      <c r="J252" s="39" t="n">
        <f aca="false">E252*'Assumptions &amp; Data'!H386</f>
        <v>142670.52</v>
      </c>
      <c r="K252" s="39" t="n">
        <f aca="false">H252*'Assumptions &amp; Data'!I386</f>
        <v>134912.4088125</v>
      </c>
      <c r="L252" s="39" t="n">
        <f aca="false">H252*'Assumptions &amp; Data'!J386</f>
        <v>183535.66275</v>
      </c>
      <c r="M252" s="39" t="n">
        <f aca="false">I252+J252+K252-L252</f>
        <v>1247993.503875</v>
      </c>
      <c r="N252" s="39" t="n">
        <f aca="false">E252*'Assumptions &amp; Data'!N386</f>
        <v>533193.58</v>
      </c>
      <c r="O252" s="39" t="n">
        <f aca="false">E252*'Assumptions &amp; Data'!O386</f>
        <v>114179.26</v>
      </c>
      <c r="P252" s="39" t="n">
        <f aca="false">H252*'Assumptions &amp; Data'!P386</f>
        <v>69853.125375</v>
      </c>
      <c r="Q252" s="39" t="n">
        <f aca="false">M252-N252-O252-P252</f>
        <v>530767.5385</v>
      </c>
      <c r="R252" s="39" t="n">
        <f aca="false">'Assumptions &amp; Data'!L386*'Assumptions &amp; Data'!M386</f>
        <v>368336</v>
      </c>
      <c r="S252" s="37" t="n">
        <f aca="false">'Assumptions &amp; Data'!Q386</f>
        <v>1430000</v>
      </c>
      <c r="T252" s="37" t="n">
        <f aca="false">'Assumptions &amp; Data'!R386</f>
        <v>180603</v>
      </c>
      <c r="U252" s="37" t="n">
        <f aca="false">'Assumptions &amp; Data'!S386</f>
        <v>171354</v>
      </c>
      <c r="V252" s="39" t="n">
        <f aca="false">Q252-R252-S252-T252-U252</f>
        <v>-1619525.4615</v>
      </c>
      <c r="W252" s="39" t="n">
        <f aca="false">DAY(EOMONTH(C252,0))</f>
        <v>30</v>
      </c>
      <c r="X252" s="40" t="n">
        <f aca="false">E252/W252</f>
        <v>357.033333333333</v>
      </c>
      <c r="Y252" s="39" t="n">
        <f aca="false">R252+S252+T252+U252</f>
        <v>2150293</v>
      </c>
    </row>
    <row r="253" customFormat="false" ht="15" hidden="false" customHeight="false" outlineLevel="0" collapsed="false">
      <c r="A253" s="37" t="str">
        <f aca="false">'Assumptions &amp; Data'!A387</f>
        <v>SM0183</v>
      </c>
      <c r="B253" s="37" t="str">
        <f aca="false">'Assumptions &amp; Data'!B387</f>
        <v>DS016</v>
      </c>
      <c r="C253" s="38" t="n">
        <f aca="false">'Assumptions &amp; Data'!C387</f>
        <v>45992</v>
      </c>
      <c r="D253" s="39" t="str">
        <f aca="false">INDEX('Assumptions &amp; Data'!$B$142:$B$201,MATCH(B253,'Assumptions &amp; Data'!$A$142:$A$201,0))</f>
        <v>Mumbai MMR</v>
      </c>
      <c r="E253" s="37" t="n">
        <f aca="false">'Assumptions &amp; Data'!D387</f>
        <v>12209</v>
      </c>
      <c r="F253" s="39" t="n">
        <f aca="false">E253*'Assumptions &amp; Data'!E387</f>
        <v>8260609.4</v>
      </c>
      <c r="G253" s="39" t="n">
        <f aca="false">F253*'Assumptions &amp; Data'!F387</f>
        <v>579894.77988</v>
      </c>
      <c r="H253" s="39" t="n">
        <f aca="false">F253-G253</f>
        <v>7680714.62012</v>
      </c>
      <c r="I253" s="39" t="n">
        <f aca="false">H253*'Assumptions &amp; Data'!G387</f>
        <v>1271158.26962986</v>
      </c>
      <c r="J253" s="39" t="n">
        <f aca="false">E253*'Assumptions &amp; Data'!H387</f>
        <v>165431.95</v>
      </c>
      <c r="K253" s="39" t="n">
        <f aca="false">H253*'Assumptions &amp; Data'!I387</f>
        <v>155150.435326424</v>
      </c>
      <c r="L253" s="39" t="n">
        <f aca="false">H253*'Assumptions &amp; Data'!J387</f>
        <v>217364.223749396</v>
      </c>
      <c r="M253" s="39" t="n">
        <f aca="false">I253+J253+K253-L253</f>
        <v>1374376.43120689</v>
      </c>
      <c r="N253" s="39" t="n">
        <f aca="false">E253*'Assumptions &amp; Data'!N387</f>
        <v>603490.87</v>
      </c>
      <c r="O253" s="39" t="n">
        <f aca="false">E253*'Assumptions &amp; Data'!O387</f>
        <v>135275.72</v>
      </c>
      <c r="P253" s="39" t="n">
        <f aca="false">H253*'Assumptions &amp; Data'!P387</f>
        <v>74502.931815164</v>
      </c>
      <c r="Q253" s="39" t="n">
        <f aca="false">M253-N253-O253-P253</f>
        <v>561106.909391724</v>
      </c>
      <c r="R253" s="39" t="n">
        <f aca="false">'Assumptions &amp; Data'!L387*'Assumptions &amp; Data'!M387</f>
        <v>368672</v>
      </c>
      <c r="S253" s="37" t="n">
        <f aca="false">'Assumptions &amp; Data'!Q387</f>
        <v>1430000</v>
      </c>
      <c r="T253" s="37" t="n">
        <f aca="false">'Assumptions &amp; Data'!R387</f>
        <v>197064</v>
      </c>
      <c r="U253" s="37" t="n">
        <f aca="false">'Assumptions &amp; Data'!S387</f>
        <v>174673</v>
      </c>
      <c r="V253" s="39" t="n">
        <f aca="false">Q253-R253-S253-T253-U253</f>
        <v>-1609302.09060828</v>
      </c>
      <c r="W253" s="39" t="n">
        <f aca="false">DAY(EOMONTH(C253,0))</f>
        <v>31</v>
      </c>
      <c r="X253" s="40" t="n">
        <f aca="false">E253/W253</f>
        <v>393.838709677419</v>
      </c>
      <c r="Y253" s="39" t="n">
        <f aca="false">R253+S253+T253+U253</f>
        <v>2170409</v>
      </c>
    </row>
    <row r="254" customFormat="false" ht="15" hidden="false" customHeight="false" outlineLevel="0" collapsed="false">
      <c r="A254" s="37" t="str">
        <f aca="false">'Assumptions &amp; Data'!A388</f>
        <v>SM0184</v>
      </c>
      <c r="B254" s="37" t="str">
        <f aca="false">'Assumptions &amp; Data'!B388</f>
        <v>DS016</v>
      </c>
      <c r="C254" s="38" t="n">
        <f aca="false">'Assumptions &amp; Data'!C388</f>
        <v>46023</v>
      </c>
      <c r="D254" s="39" t="str">
        <f aca="false">INDEX('Assumptions &amp; Data'!$B$142:$B$201,MATCH(B254,'Assumptions &amp; Data'!$A$142:$A$201,0))</f>
        <v>Mumbai MMR</v>
      </c>
      <c r="E254" s="37" t="n">
        <f aca="false">'Assumptions &amp; Data'!D388</f>
        <v>14645</v>
      </c>
      <c r="F254" s="39" t="n">
        <f aca="false">E254*'Assumptions &amp; Data'!E388</f>
        <v>9914665</v>
      </c>
      <c r="G254" s="39" t="n">
        <f aca="false">F254*'Assumptions &amp; Data'!F388</f>
        <v>680146.019</v>
      </c>
      <c r="H254" s="39" t="n">
        <f aca="false">F254-G254</f>
        <v>9234518.981</v>
      </c>
      <c r="I254" s="39" t="n">
        <f aca="false">H254*'Assumptions &amp; Data'!G388</f>
        <v>1562480.6115852</v>
      </c>
      <c r="J254" s="39" t="n">
        <f aca="false">E254*'Assumptions &amp; Data'!H388</f>
        <v>198439.75</v>
      </c>
      <c r="K254" s="39" t="n">
        <f aca="false">H254*'Assumptions &amp; Data'!I388</f>
        <v>194848.3504991</v>
      </c>
      <c r="L254" s="39" t="n">
        <f aca="false">H254*'Assumptions &amp; Data'!J388</f>
        <v>229939.5226269</v>
      </c>
      <c r="M254" s="39" t="n">
        <f aca="false">I254+J254+K254-L254</f>
        <v>1725829.1894574</v>
      </c>
      <c r="N254" s="39" t="n">
        <f aca="false">E254*'Assumptions &amp; Data'!N388</f>
        <v>703399.35</v>
      </c>
      <c r="O254" s="39" t="n">
        <f aca="false">E254*'Assumptions &amp; Data'!O388</f>
        <v>162413.05</v>
      </c>
      <c r="P254" s="39" t="n">
        <f aca="false">H254*'Assumptions &amp; Data'!P388</f>
        <v>95115.5455043</v>
      </c>
      <c r="Q254" s="39" t="n">
        <f aca="false">M254-N254-O254-P254</f>
        <v>764901.2439531</v>
      </c>
      <c r="R254" s="39" t="n">
        <f aca="false">'Assumptions &amp; Data'!L388*'Assumptions &amp; Data'!M388</f>
        <v>369008</v>
      </c>
      <c r="S254" s="37" t="n">
        <f aca="false">'Assumptions &amp; Data'!Q388</f>
        <v>1430000</v>
      </c>
      <c r="T254" s="37" t="n">
        <f aca="false">'Assumptions &amp; Data'!R388</f>
        <v>186482</v>
      </c>
      <c r="U254" s="37" t="n">
        <f aca="false">'Assumptions &amp; Data'!S388</f>
        <v>200216</v>
      </c>
      <c r="V254" s="39" t="n">
        <f aca="false">Q254-R254-S254-T254-U254</f>
        <v>-1420804.7560469</v>
      </c>
      <c r="W254" s="39" t="n">
        <f aca="false">DAY(EOMONTH(C254,0))</f>
        <v>31</v>
      </c>
      <c r="X254" s="40" t="n">
        <f aca="false">E254/W254</f>
        <v>472.41935483871</v>
      </c>
      <c r="Y254" s="39" t="n">
        <f aca="false">R254+S254+T254+U254</f>
        <v>2185706</v>
      </c>
    </row>
    <row r="255" customFormat="false" ht="15" hidden="false" customHeight="false" outlineLevel="0" collapsed="false">
      <c r="A255" s="37" t="str">
        <f aca="false">'Assumptions &amp; Data'!A389</f>
        <v>SM0185</v>
      </c>
      <c r="B255" s="37" t="str">
        <f aca="false">'Assumptions &amp; Data'!B389</f>
        <v>DS016</v>
      </c>
      <c r="C255" s="38" t="n">
        <f aca="false">'Assumptions &amp; Data'!C389</f>
        <v>46054</v>
      </c>
      <c r="D255" s="39" t="str">
        <f aca="false">INDEX('Assumptions &amp; Data'!$B$142:$B$201,MATCH(B255,'Assumptions &amp; Data'!$A$142:$A$201,0))</f>
        <v>Mumbai MMR</v>
      </c>
      <c r="E255" s="37" t="n">
        <f aca="false">'Assumptions &amp; Data'!D389</f>
        <v>14482</v>
      </c>
      <c r="F255" s="39" t="n">
        <f aca="false">E255*'Assumptions &amp; Data'!E389</f>
        <v>9938996.6</v>
      </c>
      <c r="G255" s="39" t="n">
        <f aca="false">F255*'Assumptions &amp; Data'!F389</f>
        <v>620193.38784</v>
      </c>
      <c r="H255" s="39" t="n">
        <f aca="false">F255-G255</f>
        <v>9318803.21216</v>
      </c>
      <c r="I255" s="39" t="n">
        <f aca="false">H255*'Assumptions &amp; Data'!G389</f>
        <v>1586060.30670963</v>
      </c>
      <c r="J255" s="39" t="n">
        <f aca="false">E255*'Assumptions &amp; Data'!H389</f>
        <v>192900.24</v>
      </c>
      <c r="K255" s="39" t="n">
        <f aca="false">H255*'Assumptions &amp; Data'!I389</f>
        <v>187307.944564416</v>
      </c>
      <c r="L255" s="39" t="n">
        <f aca="false">H255*'Assumptions &amp; Data'!J389</f>
        <v>234833.840946432</v>
      </c>
      <c r="M255" s="39" t="n">
        <f aca="false">I255+J255+K255-L255</f>
        <v>1731434.65032762</v>
      </c>
      <c r="N255" s="39" t="n">
        <f aca="false">E255*'Assumptions &amp; Data'!N389</f>
        <v>675874.94</v>
      </c>
      <c r="O255" s="39" t="n">
        <f aca="false">E255*'Assumptions &amp; Data'!O389</f>
        <v>156260.78</v>
      </c>
      <c r="P255" s="39" t="n">
        <f aca="false">H255*'Assumptions &amp; Data'!P389</f>
        <v>96915.553406464</v>
      </c>
      <c r="Q255" s="39" t="n">
        <f aca="false">M255-N255-O255-P255</f>
        <v>802383.376921152</v>
      </c>
      <c r="R255" s="39" t="n">
        <f aca="false">'Assumptions &amp; Data'!L389*'Assumptions &amp; Data'!M389</f>
        <v>369344</v>
      </c>
      <c r="S255" s="37" t="n">
        <f aca="false">'Assumptions &amp; Data'!Q389</f>
        <v>1430000</v>
      </c>
      <c r="T255" s="37" t="n">
        <f aca="false">'Assumptions &amp; Data'!R389</f>
        <v>189097</v>
      </c>
      <c r="U255" s="37" t="n">
        <f aca="false">'Assumptions &amp; Data'!S389</f>
        <v>177352</v>
      </c>
      <c r="V255" s="39" t="n">
        <f aca="false">Q255-R255-S255-T255-U255</f>
        <v>-1363409.62307885</v>
      </c>
      <c r="W255" s="39" t="n">
        <f aca="false">DAY(EOMONTH(C255,0))</f>
        <v>28</v>
      </c>
      <c r="X255" s="40" t="n">
        <f aca="false">E255/W255</f>
        <v>517.214285714286</v>
      </c>
      <c r="Y255" s="39" t="n">
        <f aca="false">R255+S255+T255+U255</f>
        <v>2165793</v>
      </c>
    </row>
    <row r="256" customFormat="false" ht="15" hidden="false" customHeight="false" outlineLevel="0" collapsed="false">
      <c r="A256" s="37" t="str">
        <f aca="false">'Assumptions &amp; Data'!A390</f>
        <v>SM0186</v>
      </c>
      <c r="B256" s="37" t="str">
        <f aca="false">'Assumptions &amp; Data'!B390</f>
        <v>DS016</v>
      </c>
      <c r="C256" s="38" t="n">
        <f aca="false">'Assumptions &amp; Data'!C390</f>
        <v>46082</v>
      </c>
      <c r="D256" s="39" t="str">
        <f aca="false">INDEX('Assumptions &amp; Data'!$B$142:$B$201,MATCH(B256,'Assumptions &amp; Data'!$A$142:$A$201,0))</f>
        <v>Mumbai MMR</v>
      </c>
      <c r="E256" s="37" t="n">
        <f aca="false">'Assumptions &amp; Data'!D390</f>
        <v>19245</v>
      </c>
      <c r="F256" s="39" t="n">
        <f aca="false">E256*'Assumptions &amp; Data'!E390</f>
        <v>13431085.5</v>
      </c>
      <c r="G256" s="39" t="n">
        <f aca="false">F256*'Assumptions &amp; Data'!F390</f>
        <v>787061.6103</v>
      </c>
      <c r="H256" s="39" t="n">
        <f aca="false">F256-G256</f>
        <v>12644023.8897</v>
      </c>
      <c r="I256" s="39" t="n">
        <f aca="false">H256*'Assumptions &amp; Data'!G390</f>
        <v>2116609.59913578</v>
      </c>
      <c r="J256" s="39" t="n">
        <f aca="false">E256*'Assumptions &amp; Data'!H390</f>
        <v>254996.25</v>
      </c>
      <c r="K256" s="39" t="n">
        <f aca="false">H256*'Assumptions &amp; Data'!I390</f>
        <v>295870.15901898</v>
      </c>
      <c r="L256" s="39" t="n">
        <f aca="false">H256*'Assumptions &amp; Data'!J390</f>
        <v>283226.13512928</v>
      </c>
      <c r="M256" s="39" t="n">
        <f aca="false">I256+J256+K256-L256</f>
        <v>2384249.87302548</v>
      </c>
      <c r="N256" s="39" t="n">
        <f aca="false">E256*'Assumptions &amp; Data'!N390</f>
        <v>873915.45</v>
      </c>
      <c r="O256" s="39" t="n">
        <f aca="false">E256*'Assumptions &amp; Data'!O390</f>
        <v>203419.65</v>
      </c>
      <c r="P256" s="39" t="n">
        <f aca="false">H256*'Assumptions &amp; Data'!P390</f>
        <v>122647.03173009</v>
      </c>
      <c r="Q256" s="39" t="n">
        <f aca="false">M256-N256-O256-P256</f>
        <v>1184267.74129539</v>
      </c>
      <c r="R256" s="39" t="n">
        <f aca="false">'Assumptions &amp; Data'!L390*'Assumptions &amp; Data'!M390</f>
        <v>369680</v>
      </c>
      <c r="S256" s="37" t="n">
        <f aca="false">'Assumptions &amp; Data'!Q390</f>
        <v>1430000</v>
      </c>
      <c r="T256" s="37" t="n">
        <f aca="false">'Assumptions &amp; Data'!R390</f>
        <v>192822</v>
      </c>
      <c r="U256" s="37" t="n">
        <f aca="false">'Assumptions &amp; Data'!S390</f>
        <v>234116</v>
      </c>
      <c r="V256" s="39" t="n">
        <f aca="false">Q256-R256-S256-T256-U256</f>
        <v>-1042350.25870461</v>
      </c>
      <c r="W256" s="39" t="n">
        <f aca="false">DAY(EOMONTH(C256,0))</f>
        <v>31</v>
      </c>
      <c r="X256" s="40" t="n">
        <f aca="false">E256/W256</f>
        <v>620.806451612903</v>
      </c>
      <c r="Y256" s="39" t="n">
        <f aca="false">R256+S256+T256+U256</f>
        <v>2226618</v>
      </c>
    </row>
    <row r="257" customFormat="false" ht="15" hidden="false" customHeight="false" outlineLevel="0" collapsed="false">
      <c r="A257" s="37" t="str">
        <f aca="false">'Assumptions &amp; Data'!A391</f>
        <v>SM0187</v>
      </c>
      <c r="B257" s="37" t="str">
        <f aca="false">'Assumptions &amp; Data'!B391</f>
        <v>DS016</v>
      </c>
      <c r="C257" s="38" t="n">
        <f aca="false">'Assumptions &amp; Data'!C391</f>
        <v>46113</v>
      </c>
      <c r="D257" s="39" t="str">
        <f aca="false">INDEX('Assumptions &amp; Data'!$B$142:$B$201,MATCH(B257,'Assumptions &amp; Data'!$A$142:$A$201,0))</f>
        <v>Mumbai MMR</v>
      </c>
      <c r="E257" s="37" t="n">
        <f aca="false">'Assumptions &amp; Data'!D391</f>
        <v>19368</v>
      </c>
      <c r="F257" s="39" t="n">
        <f aca="false">E257*'Assumptions &amp; Data'!E391</f>
        <v>13102452</v>
      </c>
      <c r="G257" s="39" t="n">
        <f aca="false">F257*'Assumptions &amp; Data'!F391</f>
        <v>828074.9664</v>
      </c>
      <c r="H257" s="39" t="n">
        <f aca="false">F257-G257</f>
        <v>12274377.0336</v>
      </c>
      <c r="I257" s="39" t="n">
        <f aca="false">H257*'Assumptions &amp; Data'!G391</f>
        <v>2095236.15963552</v>
      </c>
      <c r="J257" s="39" t="n">
        <f aca="false">E257*'Assumptions &amp; Data'!H391</f>
        <v>264954.24</v>
      </c>
      <c r="K257" s="39" t="n">
        <f aca="false">H257*'Assumptions &amp; Data'!I391</f>
        <v>303177.11272992</v>
      </c>
      <c r="L257" s="39" t="n">
        <f aca="false">H257*'Assumptions &amp; Data'!J391</f>
        <v>254079.60459552</v>
      </c>
      <c r="M257" s="39" t="n">
        <f aca="false">I257+J257+K257-L257</f>
        <v>2409287.90776992</v>
      </c>
      <c r="N257" s="39" t="n">
        <f aca="false">E257*'Assumptions &amp; Data'!N391</f>
        <v>889765.92</v>
      </c>
      <c r="O257" s="39" t="n">
        <f aca="false">E257*'Assumptions &amp; Data'!O391</f>
        <v>211111.2</v>
      </c>
      <c r="P257" s="39" t="n">
        <f aca="false">H257*'Assumptions &amp; Data'!P391</f>
        <v>116606.5818192</v>
      </c>
      <c r="Q257" s="39" t="n">
        <f aca="false">M257-N257-O257-P257</f>
        <v>1191804.20595072</v>
      </c>
      <c r="R257" s="39" t="n">
        <f aca="false">'Assumptions &amp; Data'!L391*'Assumptions &amp; Data'!M391</f>
        <v>370000</v>
      </c>
      <c r="S257" s="37" t="n">
        <f aca="false">'Assumptions &amp; Data'!Q391</f>
        <v>1430000</v>
      </c>
      <c r="T257" s="37" t="n">
        <f aca="false">'Assumptions &amp; Data'!R391</f>
        <v>190557</v>
      </c>
      <c r="U257" s="37" t="n">
        <f aca="false">'Assumptions &amp; Data'!S391</f>
        <v>199205</v>
      </c>
      <c r="V257" s="39" t="n">
        <f aca="false">Q257-R257-S257-T257-U257</f>
        <v>-997957.79404928</v>
      </c>
      <c r="W257" s="39" t="n">
        <f aca="false">DAY(EOMONTH(C257,0))</f>
        <v>30</v>
      </c>
      <c r="X257" s="40" t="n">
        <f aca="false">E257/W257</f>
        <v>645.6</v>
      </c>
      <c r="Y257" s="39" t="n">
        <f aca="false">R257+S257+T257+U257</f>
        <v>2189762</v>
      </c>
    </row>
    <row r="258" customFormat="false" ht="15" hidden="false" customHeight="false" outlineLevel="0" collapsed="false">
      <c r="A258" s="37" t="str">
        <f aca="false">'Assumptions &amp; Data'!A392</f>
        <v>SM0188</v>
      </c>
      <c r="B258" s="37" t="str">
        <f aca="false">'Assumptions &amp; Data'!B392</f>
        <v>DS016</v>
      </c>
      <c r="C258" s="38" t="n">
        <f aca="false">'Assumptions &amp; Data'!C392</f>
        <v>46143</v>
      </c>
      <c r="D258" s="39" t="str">
        <f aca="false">INDEX('Assumptions &amp; Data'!$B$142:$B$201,MATCH(B258,'Assumptions &amp; Data'!$A$142:$A$201,0))</f>
        <v>Mumbai MMR</v>
      </c>
      <c r="E258" s="37" t="n">
        <f aca="false">'Assumptions &amp; Data'!D392</f>
        <v>22409</v>
      </c>
      <c r="F258" s="39" t="n">
        <f aca="false">E258*'Assumptions &amp; Data'!E392</f>
        <v>15390501.2</v>
      </c>
      <c r="G258" s="39" t="n">
        <f aca="false">F258*'Assumptions &amp; Data'!F392</f>
        <v>894188.11972</v>
      </c>
      <c r="H258" s="39" t="n">
        <f aca="false">F258-G258</f>
        <v>14496313.08028</v>
      </c>
      <c r="I258" s="39" t="n">
        <f aca="false">H258*'Assumptions &amp; Data'!G392</f>
        <v>2419434.65309873</v>
      </c>
      <c r="J258" s="39" t="n">
        <f aca="false">E258*'Assumptions &amp; Data'!H392</f>
        <v>306106.94</v>
      </c>
      <c r="K258" s="39" t="n">
        <f aca="false">H258*'Assumptions &amp; Data'!I392</f>
        <v>365307.089623056</v>
      </c>
      <c r="L258" s="39" t="n">
        <f aca="false">H258*'Assumptions &amp; Data'!J392</f>
        <v>287026.998989544</v>
      </c>
      <c r="M258" s="39" t="n">
        <f aca="false">I258+J258+K258-L258</f>
        <v>2803821.68373224</v>
      </c>
      <c r="N258" s="39" t="n">
        <f aca="false">E258*'Assumptions &amp; Data'!N392</f>
        <v>981962.38</v>
      </c>
      <c r="O258" s="39" t="n">
        <f aca="false">E258*'Assumptions &amp; Data'!O392</f>
        <v>235742.68</v>
      </c>
      <c r="P258" s="39" t="n">
        <f aca="false">H258*'Assumptions &amp; Data'!P392</f>
        <v>146412.762110828</v>
      </c>
      <c r="Q258" s="39" t="n">
        <f aca="false">M258-N258-O258-P258</f>
        <v>1439703.86162142</v>
      </c>
      <c r="R258" s="39" t="n">
        <f aca="false">'Assumptions &amp; Data'!L392*'Assumptions &amp; Data'!M392</f>
        <v>393482</v>
      </c>
      <c r="S258" s="37" t="n">
        <f aca="false">'Assumptions &amp; Data'!Q392</f>
        <v>1430000</v>
      </c>
      <c r="T258" s="37" t="n">
        <f aca="false">'Assumptions &amp; Data'!R392</f>
        <v>195752</v>
      </c>
      <c r="U258" s="37" t="n">
        <f aca="false">'Assumptions &amp; Data'!S392</f>
        <v>221777</v>
      </c>
      <c r="V258" s="39" t="n">
        <f aca="false">Q258-R258-S258-T258-U258</f>
        <v>-801307.138378584</v>
      </c>
      <c r="W258" s="39" t="n">
        <f aca="false">DAY(EOMONTH(C258,0))</f>
        <v>31</v>
      </c>
      <c r="X258" s="40" t="n">
        <f aca="false">E258/W258</f>
        <v>722.870967741936</v>
      </c>
      <c r="Y258" s="39" t="n">
        <f aca="false">R258+S258+T258+U258</f>
        <v>2241011</v>
      </c>
    </row>
    <row r="259" customFormat="false" ht="15" hidden="false" customHeight="false" outlineLevel="0" collapsed="false">
      <c r="A259" s="37" t="str">
        <f aca="false">'Assumptions &amp; Data'!A393</f>
        <v>SM0189</v>
      </c>
      <c r="B259" s="37" t="str">
        <f aca="false">'Assumptions &amp; Data'!B393</f>
        <v>DS016</v>
      </c>
      <c r="C259" s="38" t="n">
        <f aca="false">'Assumptions &amp; Data'!C393</f>
        <v>46174</v>
      </c>
      <c r="D259" s="39" t="str">
        <f aca="false">INDEX('Assumptions &amp; Data'!$B$142:$B$201,MATCH(B259,'Assumptions &amp; Data'!$A$142:$A$201,0))</f>
        <v>Mumbai MMR</v>
      </c>
      <c r="E259" s="37" t="n">
        <f aca="false">'Assumptions &amp; Data'!D393</f>
        <v>21371</v>
      </c>
      <c r="F259" s="39" t="n">
        <f aca="false">E259*'Assumptions &amp; Data'!E393</f>
        <v>14130505.2</v>
      </c>
      <c r="G259" s="39" t="n">
        <f aca="false">F259*'Assumptions &amp; Data'!F393</f>
        <v>820982.35212</v>
      </c>
      <c r="H259" s="39" t="n">
        <f aca="false">F259-G259</f>
        <v>13309522.84788</v>
      </c>
      <c r="I259" s="39" t="n">
        <f aca="false">H259*'Assumptions &amp; Data'!G393</f>
        <v>2228014.12473511</v>
      </c>
      <c r="J259" s="39" t="n">
        <f aca="false">E259*'Assumptions &amp; Data'!H393</f>
        <v>297484.32</v>
      </c>
      <c r="K259" s="39" t="n">
        <f aca="false">H259*'Assumptions &amp; Data'!I393</f>
        <v>339392.83262094</v>
      </c>
      <c r="L259" s="39" t="n">
        <f aca="false">H259*'Assumptions &amp; Data'!J393</f>
        <v>271514.266096752</v>
      </c>
      <c r="M259" s="39" t="n">
        <f aca="false">I259+J259+K259-L259</f>
        <v>2593377.0112593</v>
      </c>
      <c r="N259" s="39" t="n">
        <f aca="false">E259*'Assumptions &amp; Data'!N393</f>
        <v>959985.32</v>
      </c>
      <c r="O259" s="39" t="n">
        <f aca="false">E259*'Assumptions &amp; Data'!O393</f>
        <v>235294.71</v>
      </c>
      <c r="P259" s="39" t="n">
        <f aca="false">H259*'Assumptions &amp; Data'!P393</f>
        <v>137088.085333164</v>
      </c>
      <c r="Q259" s="39" t="n">
        <f aca="false">M259-N259-O259-P259</f>
        <v>1261008.89592614</v>
      </c>
      <c r="R259" s="39" t="n">
        <f aca="false">'Assumptions &amp; Data'!L393*'Assumptions &amp; Data'!M393</f>
        <v>370672</v>
      </c>
      <c r="S259" s="37" t="n">
        <f aca="false">'Assumptions &amp; Data'!Q393</f>
        <v>1430000</v>
      </c>
      <c r="T259" s="37" t="n">
        <f aca="false">'Assumptions &amp; Data'!R393</f>
        <v>185910</v>
      </c>
      <c r="U259" s="37" t="n">
        <f aca="false">'Assumptions &amp; Data'!S393</f>
        <v>183790</v>
      </c>
      <c r="V259" s="39" t="n">
        <f aca="false">Q259-R259-S259-T259-U259</f>
        <v>-909363.104073864</v>
      </c>
      <c r="W259" s="39" t="n">
        <f aca="false">DAY(EOMONTH(C259,0))</f>
        <v>30</v>
      </c>
      <c r="X259" s="40" t="n">
        <f aca="false">E259/W259</f>
        <v>712.366666666667</v>
      </c>
      <c r="Y259" s="39" t="n">
        <f aca="false">R259+S259+T259+U259</f>
        <v>2170372</v>
      </c>
    </row>
    <row r="260" customFormat="false" ht="15" hidden="false" customHeight="false" outlineLevel="0" collapsed="false">
      <c r="A260" s="37" t="str">
        <f aca="false">'Assumptions &amp; Data'!A394</f>
        <v>SM0190</v>
      </c>
      <c r="B260" s="37" t="str">
        <f aca="false">'Assumptions &amp; Data'!B394</f>
        <v>DS016</v>
      </c>
      <c r="C260" s="38" t="n">
        <f aca="false">'Assumptions &amp; Data'!C394</f>
        <v>46204</v>
      </c>
      <c r="D260" s="39" t="str">
        <f aca="false">INDEX('Assumptions &amp; Data'!$B$142:$B$201,MATCH(B260,'Assumptions &amp; Data'!$A$142:$A$201,0))</f>
        <v>Mumbai MMR</v>
      </c>
      <c r="E260" s="37" t="n">
        <f aca="false">'Assumptions &amp; Data'!D394</f>
        <v>23788</v>
      </c>
      <c r="F260" s="39" t="n">
        <f aca="false">E260*'Assumptions &amp; Data'!E394</f>
        <v>16118748.8</v>
      </c>
      <c r="G260" s="39" t="n">
        <f aca="false">F260*'Assumptions &amp; Data'!F394</f>
        <v>896202.43328</v>
      </c>
      <c r="H260" s="39" t="n">
        <f aca="false">F260-G260</f>
        <v>15222546.36672</v>
      </c>
      <c r="I260" s="39" t="n">
        <f aca="false">H260*'Assumptions &amp; Data'!G394</f>
        <v>2540642.98860557</v>
      </c>
      <c r="J260" s="39" t="n">
        <f aca="false">E260*'Assumptions &amp; Data'!H394</f>
        <v>304724.28</v>
      </c>
      <c r="K260" s="39" t="n">
        <f aca="false">H260*'Assumptions &amp; Data'!I394</f>
        <v>388174.93235136</v>
      </c>
      <c r="L260" s="39" t="n">
        <f aca="false">H260*'Assumptions &amp; Data'!J394</f>
        <v>289228.38096768</v>
      </c>
      <c r="M260" s="39" t="n">
        <f aca="false">I260+J260+K260-L260</f>
        <v>2944313.81998925</v>
      </c>
      <c r="N260" s="39" t="n">
        <f aca="false">E260*'Assumptions &amp; Data'!N394</f>
        <v>1058803.88</v>
      </c>
      <c r="O260" s="39" t="n">
        <f aca="false">E260*'Assumptions &amp; Data'!O394</f>
        <v>249536.12</v>
      </c>
      <c r="P260" s="39" t="n">
        <f aca="false">H260*'Assumptions &amp; Data'!P394</f>
        <v>146136.445120512</v>
      </c>
      <c r="Q260" s="39" t="n">
        <f aca="false">M260-N260-O260-P260</f>
        <v>1489837.37486874</v>
      </c>
      <c r="R260" s="39" t="n">
        <f aca="false">'Assumptions &amp; Data'!L394*'Assumptions &amp; Data'!M394</f>
        <v>371008</v>
      </c>
      <c r="S260" s="37" t="n">
        <f aca="false">'Assumptions &amp; Data'!Q394</f>
        <v>1430000</v>
      </c>
      <c r="T260" s="37" t="n">
        <f aca="false">'Assumptions &amp; Data'!R394</f>
        <v>191080</v>
      </c>
      <c r="U260" s="37" t="n">
        <f aca="false">'Assumptions &amp; Data'!S394</f>
        <v>209404</v>
      </c>
      <c r="V260" s="39" t="n">
        <f aca="false">Q260-R260-S260-T260-U260</f>
        <v>-711654.625131264</v>
      </c>
      <c r="W260" s="39" t="n">
        <f aca="false">DAY(EOMONTH(C260,0))</f>
        <v>31</v>
      </c>
      <c r="X260" s="40" t="n">
        <f aca="false">E260/W260</f>
        <v>767.354838709677</v>
      </c>
      <c r="Y260" s="39" t="n">
        <f aca="false">R260+S260+T260+U260</f>
        <v>2201492</v>
      </c>
    </row>
    <row r="261" customFormat="false" ht="15" hidden="false" customHeight="false" outlineLevel="0" collapsed="false">
      <c r="A261" s="37" t="str">
        <f aca="false">'Assumptions &amp; Data'!A395</f>
        <v>SM0191</v>
      </c>
      <c r="B261" s="37" t="str">
        <f aca="false">'Assumptions &amp; Data'!B395</f>
        <v>DS016</v>
      </c>
      <c r="C261" s="38" t="n">
        <f aca="false">'Assumptions &amp; Data'!C395</f>
        <v>46235</v>
      </c>
      <c r="D261" s="39" t="str">
        <f aca="false">INDEX('Assumptions &amp; Data'!$B$142:$B$201,MATCH(B261,'Assumptions &amp; Data'!$A$142:$A$201,0))</f>
        <v>Mumbai MMR</v>
      </c>
      <c r="E261" s="37" t="n">
        <f aca="false">'Assumptions &amp; Data'!D395</f>
        <v>26074</v>
      </c>
      <c r="F261" s="39" t="n">
        <f aca="false">E261*'Assumptions &amp; Data'!E395</f>
        <v>17294884.2</v>
      </c>
      <c r="G261" s="39" t="n">
        <f aca="false">F261*'Assumptions &amp; Data'!F395</f>
        <v>920087.83944</v>
      </c>
      <c r="H261" s="39" t="n">
        <f aca="false">F261-G261</f>
        <v>16374796.36056</v>
      </c>
      <c r="I261" s="39" t="n">
        <f aca="false">H261*'Assumptions &amp; Data'!G395</f>
        <v>2777165.46275098</v>
      </c>
      <c r="J261" s="39" t="n">
        <f aca="false">E261*'Assumptions &amp; Data'!H395</f>
        <v>341569.4</v>
      </c>
      <c r="K261" s="39" t="n">
        <f aca="false">H261*'Assumptions &amp; Data'!I395</f>
        <v>442119.50173512</v>
      </c>
      <c r="L261" s="39" t="n">
        <f aca="false">H261*'Assumptions &amp; Data'!J395</f>
        <v>309483.651214584</v>
      </c>
      <c r="M261" s="39" t="n">
        <f aca="false">I261+J261+K261-L261</f>
        <v>3251370.71327151</v>
      </c>
      <c r="N261" s="39" t="n">
        <f aca="false">E261*'Assumptions &amp; Data'!N395</f>
        <v>1130047.16</v>
      </c>
      <c r="O261" s="39" t="n">
        <f aca="false">E261*'Assumptions &amp; Data'!O395</f>
        <v>283945.86</v>
      </c>
      <c r="P261" s="39" t="n">
        <f aca="false">H261*'Assumptions &amp; Data'!P395</f>
        <v>163747.9636056</v>
      </c>
      <c r="Q261" s="39" t="n">
        <f aca="false">M261-N261-O261-P261</f>
        <v>1673629.72966591</v>
      </c>
      <c r="R261" s="39" t="n">
        <f aca="false">'Assumptions &amp; Data'!L395*'Assumptions &amp; Data'!M395</f>
        <v>417762</v>
      </c>
      <c r="S261" s="37" t="n">
        <f aca="false">'Assumptions &amp; Data'!Q395</f>
        <v>1430000</v>
      </c>
      <c r="T261" s="37" t="n">
        <f aca="false">'Assumptions &amp; Data'!R395</f>
        <v>185785</v>
      </c>
      <c r="U261" s="37" t="n">
        <f aca="false">'Assumptions &amp; Data'!S395</f>
        <v>219665</v>
      </c>
      <c r="V261" s="39" t="n">
        <f aca="false">Q261-R261-S261-T261-U261</f>
        <v>-579582.270334088</v>
      </c>
      <c r="W261" s="39" t="n">
        <f aca="false">DAY(EOMONTH(C261,0))</f>
        <v>31</v>
      </c>
      <c r="X261" s="40" t="n">
        <f aca="false">E261/W261</f>
        <v>841.096774193548</v>
      </c>
      <c r="Y261" s="39" t="n">
        <f aca="false">R261+S261+T261+U261</f>
        <v>2253212</v>
      </c>
    </row>
    <row r="262" customFormat="false" ht="15" hidden="false" customHeight="false" outlineLevel="0" collapsed="false">
      <c r="A262" s="37" t="str">
        <f aca="false">'Assumptions &amp; Data'!A396</f>
        <v>SM0192</v>
      </c>
      <c r="B262" s="37" t="str">
        <f aca="false">'Assumptions &amp; Data'!B396</f>
        <v>DS016</v>
      </c>
      <c r="C262" s="38" t="n">
        <f aca="false">'Assumptions &amp; Data'!C396</f>
        <v>46266</v>
      </c>
      <c r="D262" s="39" t="str">
        <f aca="false">INDEX('Assumptions &amp; Data'!$B$142:$B$201,MATCH(B262,'Assumptions &amp; Data'!$A$142:$A$201,0))</f>
        <v>Mumbai MMR</v>
      </c>
      <c r="E262" s="37" t="n">
        <f aca="false">'Assumptions &amp; Data'!D396</f>
        <v>25772</v>
      </c>
      <c r="F262" s="39" t="n">
        <f aca="false">E262*'Assumptions &amp; Data'!E396</f>
        <v>17226004.8</v>
      </c>
      <c r="G262" s="39" t="n">
        <f aca="false">F262*'Assumptions &amp; Data'!F396</f>
        <v>959488.46736</v>
      </c>
      <c r="H262" s="39" t="n">
        <f aca="false">F262-G262</f>
        <v>16266516.33264</v>
      </c>
      <c r="I262" s="39" t="n">
        <f aca="false">H262*'Assumptions &amp; Data'!G396</f>
        <v>2791334.20268102</v>
      </c>
      <c r="J262" s="39" t="n">
        <f aca="false">E262*'Assumptions &amp; Data'!H396</f>
        <v>351014.64</v>
      </c>
      <c r="K262" s="39" t="n">
        <f aca="false">H262*'Assumptions &amp; Data'!I396</f>
        <v>434315.986081488</v>
      </c>
      <c r="L262" s="39" t="n">
        <f aca="false">H262*'Assumptions &amp; Data'!J396</f>
        <v>273277.474388352</v>
      </c>
      <c r="M262" s="39" t="n">
        <f aca="false">I262+J262+K262-L262</f>
        <v>3303387.35437416</v>
      </c>
      <c r="N262" s="39" t="n">
        <f aca="false">E262*'Assumptions &amp; Data'!N396</f>
        <v>1095310</v>
      </c>
      <c r="O262" s="39" t="n">
        <f aca="false">E262*'Assumptions &amp; Data'!O396</f>
        <v>276791.28</v>
      </c>
      <c r="P262" s="39" t="n">
        <f aca="false">H262*'Assumptions &amp; Data'!P396</f>
        <v>159411.860059872</v>
      </c>
      <c r="Q262" s="39" t="n">
        <f aca="false">M262-N262-O262-P262</f>
        <v>1771874.21431429</v>
      </c>
      <c r="R262" s="39" t="n">
        <f aca="false">'Assumptions &amp; Data'!L396*'Assumptions &amp; Data'!M396</f>
        <v>394910</v>
      </c>
      <c r="S262" s="37" t="n">
        <f aca="false">'Assumptions &amp; Data'!Q396</f>
        <v>1430000</v>
      </c>
      <c r="T262" s="37" t="n">
        <f aca="false">'Assumptions &amp; Data'!R396</f>
        <v>182759</v>
      </c>
      <c r="U262" s="37" t="n">
        <f aca="false">'Assumptions &amp; Data'!S396</f>
        <v>216042</v>
      </c>
      <c r="V262" s="39" t="n">
        <f aca="false">Q262-R262-S262-T262-U262</f>
        <v>-451836.785685712</v>
      </c>
      <c r="W262" s="39" t="n">
        <f aca="false">DAY(EOMONTH(C262,0))</f>
        <v>30</v>
      </c>
      <c r="X262" s="40" t="n">
        <f aca="false">E262/W262</f>
        <v>859.066666666667</v>
      </c>
      <c r="Y262" s="39" t="n">
        <f aca="false">R262+S262+T262+U262</f>
        <v>2223711</v>
      </c>
    </row>
    <row r="263" customFormat="false" ht="15" hidden="false" customHeight="false" outlineLevel="0" collapsed="false">
      <c r="A263" s="37" t="str">
        <f aca="false">'Assumptions &amp; Data'!A397</f>
        <v>SM0193</v>
      </c>
      <c r="B263" s="37" t="str">
        <f aca="false">'Assumptions &amp; Data'!B397</f>
        <v>DS017</v>
      </c>
      <c r="C263" s="38" t="n">
        <f aca="false">'Assumptions &amp; Data'!C397</f>
        <v>45931</v>
      </c>
      <c r="D263" s="39" t="str">
        <f aca="false">INDEX('Assumptions &amp; Data'!$B$142:$B$201,MATCH(B263,'Assumptions &amp; Data'!$A$142:$A$201,0))</f>
        <v>Mumbai MMR</v>
      </c>
      <c r="E263" s="37" t="n">
        <f aca="false">'Assumptions &amp; Data'!D397</f>
        <v>20025</v>
      </c>
      <c r="F263" s="39" t="n">
        <f aca="false">E263*'Assumptions &amp; Data'!E397</f>
        <v>14518125</v>
      </c>
      <c r="G263" s="39" t="n">
        <f aca="false">F263*'Assumptions &amp; Data'!F397</f>
        <v>1168709.0625</v>
      </c>
      <c r="H263" s="39" t="n">
        <f aca="false">F263-G263</f>
        <v>13349415.9375</v>
      </c>
      <c r="I263" s="39" t="n">
        <f aca="false">H263*'Assumptions &amp; Data'!G397</f>
        <v>2249376.58546875</v>
      </c>
      <c r="J263" s="39" t="n">
        <f aca="false">E263*'Assumptions &amp; Data'!H397</f>
        <v>234492.75</v>
      </c>
      <c r="K263" s="39" t="n">
        <f aca="false">H263*'Assumptions &amp; Data'!I397</f>
        <v>331065.51525</v>
      </c>
      <c r="L263" s="39" t="n">
        <f aca="false">H263*'Assumptions &amp; Data'!J397</f>
        <v>321720.92409375</v>
      </c>
      <c r="M263" s="39" t="n">
        <f aca="false">I263+J263+K263-L263</f>
        <v>2493213.926625</v>
      </c>
      <c r="N263" s="39" t="n">
        <f aca="false">E263*'Assumptions &amp; Data'!N397</f>
        <v>963202.5</v>
      </c>
      <c r="O263" s="39" t="n">
        <f aca="false">E263*'Assumptions &amp; Data'!O397</f>
        <v>218272.5</v>
      </c>
      <c r="P263" s="39" t="n">
        <f aca="false">H263*'Assumptions &amp; Data'!P397</f>
        <v>130824.2761875</v>
      </c>
      <c r="Q263" s="39" t="n">
        <f aca="false">M263-N263-O263-P263</f>
        <v>1180914.6504375</v>
      </c>
      <c r="R263" s="39" t="n">
        <f aca="false">'Assumptions &amp; Data'!L397*'Assumptions &amp; Data'!M397</f>
        <v>391000</v>
      </c>
      <c r="S263" s="37" t="n">
        <f aca="false">'Assumptions &amp; Data'!Q397</f>
        <v>841500</v>
      </c>
      <c r="T263" s="37" t="n">
        <f aca="false">'Assumptions &amp; Data'!R397</f>
        <v>175983</v>
      </c>
      <c r="U263" s="37" t="n">
        <f aca="false">'Assumptions &amp; Data'!S397</f>
        <v>285126</v>
      </c>
      <c r="V263" s="39" t="n">
        <f aca="false">Q263-R263-S263-T263-U263</f>
        <v>-512694.3495625</v>
      </c>
      <c r="W263" s="39" t="n">
        <f aca="false">DAY(EOMONTH(C263,0))</f>
        <v>31</v>
      </c>
      <c r="X263" s="40" t="n">
        <f aca="false">E263/W263</f>
        <v>645.967741935484</v>
      </c>
      <c r="Y263" s="39" t="n">
        <f aca="false">R263+S263+T263+U263</f>
        <v>1693609</v>
      </c>
    </row>
    <row r="264" customFormat="false" ht="15" hidden="false" customHeight="false" outlineLevel="0" collapsed="false">
      <c r="A264" s="37" t="str">
        <f aca="false">'Assumptions &amp; Data'!A398</f>
        <v>SM0194</v>
      </c>
      <c r="B264" s="37" t="str">
        <f aca="false">'Assumptions &amp; Data'!B398</f>
        <v>DS017</v>
      </c>
      <c r="C264" s="38" t="n">
        <f aca="false">'Assumptions &amp; Data'!C398</f>
        <v>45962</v>
      </c>
      <c r="D264" s="39" t="str">
        <f aca="false">INDEX('Assumptions &amp; Data'!$B$142:$B$201,MATCH(B264,'Assumptions &amp; Data'!$A$142:$A$201,0))</f>
        <v>Mumbai MMR</v>
      </c>
      <c r="E264" s="37" t="n">
        <f aca="false">'Assumptions &amp; Data'!D398</f>
        <v>21170</v>
      </c>
      <c r="F264" s="39" t="n">
        <f aca="false">E264*'Assumptions &amp; Data'!E398</f>
        <v>15792820</v>
      </c>
      <c r="G264" s="39" t="n">
        <f aca="false">F264*'Assumptions &amp; Data'!F398</f>
        <v>1246053.498</v>
      </c>
      <c r="H264" s="39" t="n">
        <f aca="false">F264-G264</f>
        <v>14546766.502</v>
      </c>
      <c r="I264" s="39" t="n">
        <f aca="false">H264*'Assumptions &amp; Data'!G398</f>
        <v>2448220.8022866</v>
      </c>
      <c r="J264" s="39" t="n">
        <f aca="false">E264*'Assumptions &amp; Data'!H398</f>
        <v>245995.4</v>
      </c>
      <c r="K264" s="39" t="n">
        <f aca="false">H264*'Assumptions &amp; Data'!I398</f>
        <v>357850.4559492</v>
      </c>
      <c r="L264" s="39" t="n">
        <f aca="false">H264*'Assumptions &amp; Data'!J398</f>
        <v>350577.0726982</v>
      </c>
      <c r="M264" s="39" t="n">
        <f aca="false">I264+J264+K264-L264</f>
        <v>2701489.5855376</v>
      </c>
      <c r="N264" s="39" t="n">
        <f aca="false">E264*'Assumptions &amp; Data'!N398</f>
        <v>1000282.5</v>
      </c>
      <c r="O264" s="39" t="n">
        <f aca="false">E264*'Assumptions &amp; Data'!O398</f>
        <v>231599.8</v>
      </c>
      <c r="P264" s="39" t="n">
        <f aca="false">H264*'Assumptions &amp; Data'!P398</f>
        <v>145467.66502</v>
      </c>
      <c r="Q264" s="39" t="n">
        <f aca="false">M264-N264-O264-P264</f>
        <v>1324139.6205176</v>
      </c>
      <c r="R264" s="39" t="n">
        <f aca="false">'Assumptions &amp; Data'!L398*'Assumptions &amp; Data'!M398</f>
        <v>483441</v>
      </c>
      <c r="S264" s="37" t="n">
        <f aca="false">'Assumptions &amp; Data'!Q398</f>
        <v>841500</v>
      </c>
      <c r="T264" s="37" t="n">
        <f aca="false">'Assumptions &amp; Data'!R398</f>
        <v>178494</v>
      </c>
      <c r="U264" s="37" t="n">
        <f aca="false">'Assumptions &amp; Data'!S398</f>
        <v>276519</v>
      </c>
      <c r="V264" s="39" t="n">
        <f aca="false">Q264-R264-S264-T264-U264</f>
        <v>-455814.3794824</v>
      </c>
      <c r="W264" s="39" t="n">
        <f aca="false">DAY(EOMONTH(C264,0))</f>
        <v>30</v>
      </c>
      <c r="X264" s="40" t="n">
        <f aca="false">E264/W264</f>
        <v>705.666666666667</v>
      </c>
      <c r="Y264" s="39" t="n">
        <f aca="false">R264+S264+T264+U264</f>
        <v>1779954</v>
      </c>
    </row>
    <row r="265" customFormat="false" ht="15" hidden="false" customHeight="false" outlineLevel="0" collapsed="false">
      <c r="A265" s="37" t="str">
        <f aca="false">'Assumptions &amp; Data'!A399</f>
        <v>SM0195</v>
      </c>
      <c r="B265" s="37" t="str">
        <f aca="false">'Assumptions &amp; Data'!B399</f>
        <v>DS017</v>
      </c>
      <c r="C265" s="38" t="n">
        <f aca="false">'Assumptions &amp; Data'!C399</f>
        <v>45992</v>
      </c>
      <c r="D265" s="39" t="str">
        <f aca="false">INDEX('Assumptions &amp; Data'!$B$142:$B$201,MATCH(B265,'Assumptions &amp; Data'!$A$142:$A$201,0))</f>
        <v>Mumbai MMR</v>
      </c>
      <c r="E265" s="37" t="n">
        <f aca="false">'Assumptions &amp; Data'!D399</f>
        <v>23695</v>
      </c>
      <c r="F265" s="39" t="n">
        <f aca="false">E265*'Assumptions &amp; Data'!E399</f>
        <v>17114898.5</v>
      </c>
      <c r="G265" s="39" t="n">
        <f aca="false">F265*'Assumptions &amp; Data'!F399</f>
        <v>1369191.88</v>
      </c>
      <c r="H265" s="39" t="n">
        <f aca="false">F265-G265</f>
        <v>15745706.62</v>
      </c>
      <c r="I265" s="39" t="n">
        <f aca="false">H265*'Assumptions &amp; Data'!G399</f>
        <v>2667322.701428</v>
      </c>
      <c r="J265" s="39" t="n">
        <f aca="false">E265*'Assumptions &amp; Data'!H399</f>
        <v>280548.8</v>
      </c>
      <c r="K265" s="39" t="n">
        <f aca="false">H265*'Assumptions &amp; Data'!I399</f>
        <v>382620.670866</v>
      </c>
      <c r="L265" s="39" t="n">
        <f aca="false">H265*'Assumptions &amp; Data'!J399</f>
        <v>373173.246894</v>
      </c>
      <c r="M265" s="39" t="n">
        <f aca="false">I265+J265+K265-L265</f>
        <v>2957318.9254</v>
      </c>
      <c r="N265" s="39" t="n">
        <f aca="false">E265*'Assumptions &amp; Data'!N399</f>
        <v>1092576.45</v>
      </c>
      <c r="O265" s="39" t="n">
        <f aca="false">E265*'Assumptions &amp; Data'!O399</f>
        <v>252825.65</v>
      </c>
      <c r="P265" s="39" t="n">
        <f aca="false">H265*'Assumptions &amp; Data'!P399</f>
        <v>152733.354214</v>
      </c>
      <c r="Q265" s="39" t="n">
        <f aca="false">M265-N265-O265-P265</f>
        <v>1459183.471186</v>
      </c>
      <c r="R265" s="39" t="n">
        <f aca="false">'Assumptions &amp; Data'!L399*'Assumptions &amp; Data'!M399</f>
        <v>483882</v>
      </c>
      <c r="S265" s="37" t="n">
        <f aca="false">'Assumptions &amp; Data'!Q399</f>
        <v>841500</v>
      </c>
      <c r="T265" s="37" t="n">
        <f aca="false">'Assumptions &amp; Data'!R399</f>
        <v>174670</v>
      </c>
      <c r="U265" s="37" t="n">
        <f aca="false">'Assumptions &amp; Data'!S399</f>
        <v>284391</v>
      </c>
      <c r="V265" s="39" t="n">
        <f aca="false">Q265-R265-S265-T265-U265</f>
        <v>-325259.528814</v>
      </c>
      <c r="W265" s="39" t="n">
        <f aca="false">DAY(EOMONTH(C265,0))</f>
        <v>31</v>
      </c>
      <c r="X265" s="40" t="n">
        <f aca="false">E265/W265</f>
        <v>764.354838709677</v>
      </c>
      <c r="Y265" s="39" t="n">
        <f aca="false">R265+S265+T265+U265</f>
        <v>1784443</v>
      </c>
    </row>
    <row r="266" customFormat="false" ht="15" hidden="false" customHeight="false" outlineLevel="0" collapsed="false">
      <c r="A266" s="37" t="str">
        <f aca="false">'Assumptions &amp; Data'!A400</f>
        <v>SM0196</v>
      </c>
      <c r="B266" s="37" t="str">
        <f aca="false">'Assumptions &amp; Data'!B400</f>
        <v>DS017</v>
      </c>
      <c r="C266" s="38" t="n">
        <f aca="false">'Assumptions &amp; Data'!C400</f>
        <v>46023</v>
      </c>
      <c r="D266" s="39" t="str">
        <f aca="false">INDEX('Assumptions &amp; Data'!$B$142:$B$201,MATCH(B266,'Assumptions &amp; Data'!$A$142:$A$201,0))</f>
        <v>Mumbai MMR</v>
      </c>
      <c r="E266" s="37" t="n">
        <f aca="false">'Assumptions &amp; Data'!D400</f>
        <v>26022</v>
      </c>
      <c r="F266" s="39" t="n">
        <f aca="false">E266*'Assumptions &amp; Data'!E400</f>
        <v>18002019.6</v>
      </c>
      <c r="G266" s="39" t="n">
        <f aca="false">F266*'Assumptions &amp; Data'!F400</f>
        <v>1362752.88372</v>
      </c>
      <c r="H266" s="39" t="n">
        <f aca="false">F266-G266</f>
        <v>16639266.71628</v>
      </c>
      <c r="I266" s="39" t="n">
        <f aca="false">H266*'Assumptions &amp; Data'!G400</f>
        <v>2780421.46829039</v>
      </c>
      <c r="J266" s="39" t="n">
        <f aca="false">E266*'Assumptions &amp; Data'!H400</f>
        <v>309922.02</v>
      </c>
      <c r="K266" s="39" t="n">
        <f aca="false">H266*'Assumptions &amp; Data'!I400</f>
        <v>419309.521250256</v>
      </c>
      <c r="L266" s="39" t="n">
        <f aca="false">H266*'Assumptions &amp; Data'!J400</f>
        <v>361072.087743276</v>
      </c>
      <c r="M266" s="39" t="n">
        <f aca="false">I266+J266+K266-L266</f>
        <v>3148580.92179737</v>
      </c>
      <c r="N266" s="39" t="n">
        <f aca="false">E266*'Assumptions &amp; Data'!N400</f>
        <v>1201435.74</v>
      </c>
      <c r="O266" s="39" t="n">
        <f aca="false">E266*'Assumptions &amp; Data'!O400</f>
        <v>280256.94</v>
      </c>
      <c r="P266" s="39" t="n">
        <f aca="false">H266*'Assumptions &amp; Data'!P400</f>
        <v>156409.107133032</v>
      </c>
      <c r="Q266" s="39" t="n">
        <f aca="false">M266-N266-O266-P266</f>
        <v>1510479.13466434</v>
      </c>
      <c r="R266" s="39" t="n">
        <f aca="false">'Assumptions &amp; Data'!L400*'Assumptions &amp; Data'!M400</f>
        <v>553512</v>
      </c>
      <c r="S266" s="37" t="n">
        <f aca="false">'Assumptions &amp; Data'!Q400</f>
        <v>841500</v>
      </c>
      <c r="T266" s="37" t="n">
        <f aca="false">'Assumptions &amp; Data'!R400</f>
        <v>168409</v>
      </c>
      <c r="U266" s="37" t="n">
        <f aca="false">'Assumptions &amp; Data'!S400</f>
        <v>279545</v>
      </c>
      <c r="V266" s="39" t="n">
        <f aca="false">Q266-R266-S266-T266-U266</f>
        <v>-332486.865335664</v>
      </c>
      <c r="W266" s="39" t="n">
        <f aca="false">DAY(EOMONTH(C266,0))</f>
        <v>31</v>
      </c>
      <c r="X266" s="40" t="n">
        <f aca="false">E266/W266</f>
        <v>839.41935483871</v>
      </c>
      <c r="Y266" s="39" t="n">
        <f aca="false">R266+S266+T266+U266</f>
        <v>1842966</v>
      </c>
    </row>
    <row r="267" customFormat="false" ht="15" hidden="false" customHeight="false" outlineLevel="0" collapsed="false">
      <c r="A267" s="37" t="str">
        <f aca="false">'Assumptions &amp; Data'!A401</f>
        <v>SM0197</v>
      </c>
      <c r="B267" s="37" t="str">
        <f aca="false">'Assumptions &amp; Data'!B401</f>
        <v>DS017</v>
      </c>
      <c r="C267" s="38" t="n">
        <f aca="false">'Assumptions &amp; Data'!C401</f>
        <v>46054</v>
      </c>
      <c r="D267" s="39" t="str">
        <f aca="false">INDEX('Assumptions &amp; Data'!$B$142:$B$201,MATCH(B267,'Assumptions &amp; Data'!$A$142:$A$201,0))</f>
        <v>Mumbai MMR</v>
      </c>
      <c r="E267" s="37" t="n">
        <f aca="false">'Assumptions &amp; Data'!D401</f>
        <v>23655</v>
      </c>
      <c r="F267" s="39" t="n">
        <f aca="false">E267*'Assumptions &amp; Data'!E401</f>
        <v>17147509.5</v>
      </c>
      <c r="G267" s="39" t="n">
        <f aca="false">F267*'Assumptions &amp; Data'!F401</f>
        <v>1311784.47675</v>
      </c>
      <c r="H267" s="39" t="n">
        <f aca="false">F267-G267</f>
        <v>15835725.02325</v>
      </c>
      <c r="I267" s="39" t="n">
        <f aca="false">H267*'Assumptions &amp; Data'!G401</f>
        <v>2650900.36889205</v>
      </c>
      <c r="J267" s="39" t="n">
        <f aca="false">E267*'Assumptions &amp; Data'!H401</f>
        <v>270140.1</v>
      </c>
      <c r="K267" s="39" t="n">
        <f aca="false">H267*'Assumptions &amp; Data'!I401</f>
        <v>408561.70559985</v>
      </c>
      <c r="L267" s="39" t="n">
        <f aca="false">H267*'Assumptions &amp; Data'!J401</f>
        <v>323048.7904743</v>
      </c>
      <c r="M267" s="39" t="n">
        <f aca="false">I267+J267+K267-L267</f>
        <v>3006553.3840176</v>
      </c>
      <c r="N267" s="39" t="n">
        <f aca="false">E267*'Assumptions &amp; Data'!N401</f>
        <v>1077012.15</v>
      </c>
      <c r="O267" s="39" t="n">
        <f aca="false">E267*'Assumptions &amp; Data'!O401</f>
        <v>251689.2</v>
      </c>
      <c r="P267" s="39" t="n">
        <f aca="false">H267*'Assumptions &amp; Data'!P401</f>
        <v>161524.39523715</v>
      </c>
      <c r="Q267" s="39" t="n">
        <f aca="false">M267-N267-O267-P267</f>
        <v>1516327.63878045</v>
      </c>
      <c r="R267" s="39" t="n">
        <f aca="false">'Assumptions &amp; Data'!L401*'Assumptions &amp; Data'!M401</f>
        <v>600184</v>
      </c>
      <c r="S267" s="37" t="n">
        <f aca="false">'Assumptions &amp; Data'!Q401</f>
        <v>841500</v>
      </c>
      <c r="T267" s="37" t="n">
        <f aca="false">'Assumptions &amp; Data'!R401</f>
        <v>175393</v>
      </c>
      <c r="U267" s="37" t="n">
        <f aca="false">'Assumptions &amp; Data'!S401</f>
        <v>246782</v>
      </c>
      <c r="V267" s="39" t="n">
        <f aca="false">Q267-R267-S267-T267-U267</f>
        <v>-347531.361219551</v>
      </c>
      <c r="W267" s="39" t="n">
        <f aca="false">DAY(EOMONTH(C267,0))</f>
        <v>28</v>
      </c>
      <c r="X267" s="40" t="n">
        <f aca="false">E267/W267</f>
        <v>844.821428571429</v>
      </c>
      <c r="Y267" s="39" t="n">
        <f aca="false">R267+S267+T267+U267</f>
        <v>1863859</v>
      </c>
    </row>
    <row r="268" customFormat="false" ht="15" hidden="false" customHeight="false" outlineLevel="0" collapsed="false">
      <c r="A268" s="37" t="str">
        <f aca="false">'Assumptions &amp; Data'!A402</f>
        <v>SM0198</v>
      </c>
      <c r="B268" s="37" t="str">
        <f aca="false">'Assumptions &amp; Data'!B402</f>
        <v>DS017</v>
      </c>
      <c r="C268" s="38" t="n">
        <f aca="false">'Assumptions &amp; Data'!C402</f>
        <v>46082</v>
      </c>
      <c r="D268" s="39" t="str">
        <f aca="false">INDEX('Assumptions &amp; Data'!$B$142:$B$201,MATCH(B268,'Assumptions &amp; Data'!$A$142:$A$201,0))</f>
        <v>Mumbai MMR</v>
      </c>
      <c r="E268" s="37" t="n">
        <f aca="false">'Assumptions &amp; Data'!D402</f>
        <v>26719</v>
      </c>
      <c r="F268" s="39" t="n">
        <f aca="false">E268*'Assumptions &amp; Data'!E402</f>
        <v>19512885.7</v>
      </c>
      <c r="G268" s="39" t="n">
        <f aca="false">F268*'Assumptions &amp; Data'!F402</f>
        <v>1404927.7704</v>
      </c>
      <c r="H268" s="39" t="n">
        <f aca="false">F268-G268</f>
        <v>18107957.9296</v>
      </c>
      <c r="I268" s="39" t="n">
        <f aca="false">H268*'Assumptions &amp; Data'!G402</f>
        <v>3011353.40369248</v>
      </c>
      <c r="J268" s="39" t="n">
        <f aca="false">E268*'Assumptions &amp; Data'!H402</f>
        <v>318223.29</v>
      </c>
      <c r="K268" s="39" t="n">
        <f aca="false">H268*'Assumptions &amp; Data'!I402</f>
        <v>483482.47672032</v>
      </c>
      <c r="L268" s="39" t="n">
        <f aca="false">H268*'Assumptions &amp; Data'!J402</f>
        <v>385699.50390048</v>
      </c>
      <c r="M268" s="39" t="n">
        <f aca="false">I268+J268+K268-L268</f>
        <v>3427359.66651232</v>
      </c>
      <c r="N268" s="39" t="n">
        <f aca="false">E268*'Assumptions &amp; Data'!N402</f>
        <v>1212241.03</v>
      </c>
      <c r="O268" s="39" t="n">
        <f aca="false">E268*'Assumptions &amp; Data'!O402</f>
        <v>300321.56</v>
      </c>
      <c r="P268" s="39" t="n">
        <f aca="false">H268*'Assumptions &amp; Data'!P402</f>
        <v>177457.98771008</v>
      </c>
      <c r="Q268" s="39" t="n">
        <f aca="false">M268-N268-O268-P268</f>
        <v>1737339.08880224</v>
      </c>
      <c r="R268" s="39" t="n">
        <f aca="false">'Assumptions &amp; Data'!L402*'Assumptions &amp; Data'!M402</f>
        <v>577625</v>
      </c>
      <c r="S268" s="37" t="n">
        <f aca="false">'Assumptions &amp; Data'!Q402</f>
        <v>841500</v>
      </c>
      <c r="T268" s="37" t="n">
        <f aca="false">'Assumptions &amp; Data'!R402</f>
        <v>168417</v>
      </c>
      <c r="U268" s="37" t="n">
        <f aca="false">'Assumptions &amp; Data'!S402</f>
        <v>252133</v>
      </c>
      <c r="V268" s="39" t="n">
        <f aca="false">Q268-R268-S268-T268-U268</f>
        <v>-102335.91119776</v>
      </c>
      <c r="W268" s="39" t="n">
        <f aca="false">DAY(EOMONTH(C268,0))</f>
        <v>31</v>
      </c>
      <c r="X268" s="40" t="n">
        <f aca="false">E268/W268</f>
        <v>861.903225806452</v>
      </c>
      <c r="Y268" s="39" t="n">
        <f aca="false">R268+S268+T268+U268</f>
        <v>1839675</v>
      </c>
    </row>
    <row r="269" customFormat="false" ht="15" hidden="false" customHeight="false" outlineLevel="0" collapsed="false">
      <c r="A269" s="37" t="str">
        <f aca="false">'Assumptions &amp; Data'!A403</f>
        <v>SM0199</v>
      </c>
      <c r="B269" s="37" t="str">
        <f aca="false">'Assumptions &amp; Data'!B403</f>
        <v>DS017</v>
      </c>
      <c r="C269" s="38" t="n">
        <f aca="false">'Assumptions &amp; Data'!C403</f>
        <v>46113</v>
      </c>
      <c r="D269" s="39" t="str">
        <f aca="false">INDEX('Assumptions &amp; Data'!$B$142:$B$201,MATCH(B269,'Assumptions &amp; Data'!$A$142:$A$201,0))</f>
        <v>Mumbai MMR</v>
      </c>
      <c r="E269" s="37" t="n">
        <f aca="false">'Assumptions &amp; Data'!D403</f>
        <v>28310</v>
      </c>
      <c r="F269" s="39" t="n">
        <f aca="false">E269*'Assumptions &amp; Data'!E403</f>
        <v>20034987</v>
      </c>
      <c r="G269" s="39" t="n">
        <f aca="false">F269*'Assumptions &amp; Data'!F403</f>
        <v>1484592.5367</v>
      </c>
      <c r="H269" s="39" t="n">
        <f aca="false">F269-G269</f>
        <v>18550394.4633</v>
      </c>
      <c r="I269" s="39" t="n">
        <f aca="false">H269*'Assumptions &amp; Data'!G403</f>
        <v>3107191.07260275</v>
      </c>
      <c r="J269" s="39" t="n">
        <f aca="false">E269*'Assumptions &amp; Data'!H403</f>
        <v>323866.4</v>
      </c>
      <c r="K269" s="39" t="n">
        <f aca="false">H269*'Assumptions &amp; Data'!I403</f>
        <v>474890.09826048</v>
      </c>
      <c r="L269" s="39" t="n">
        <f aca="false">H269*'Assumptions &amp; Data'!J403</f>
        <v>378428.04705132</v>
      </c>
      <c r="M269" s="39" t="n">
        <f aca="false">I269+J269+K269-L269</f>
        <v>3527519.52381191</v>
      </c>
      <c r="N269" s="39" t="n">
        <f aca="false">E269*'Assumptions &amp; Data'!N403</f>
        <v>1244507.6</v>
      </c>
      <c r="O269" s="39" t="n">
        <f aca="false">E269*'Assumptions &amp; Data'!O403</f>
        <v>313108.6</v>
      </c>
      <c r="P269" s="39" t="n">
        <f aca="false">H269*'Assumptions &amp; Data'!P403</f>
        <v>194779.14186465</v>
      </c>
      <c r="Q269" s="39" t="n">
        <f aca="false">M269-N269-O269-P269</f>
        <v>1775124.18194726</v>
      </c>
      <c r="R269" s="39" t="n">
        <f aca="false">'Assumptions &amp; Data'!L403*'Assumptions &amp; Data'!M403</f>
        <v>624375</v>
      </c>
      <c r="S269" s="37" t="n">
        <f aca="false">'Assumptions &amp; Data'!Q403</f>
        <v>841500</v>
      </c>
      <c r="T269" s="37" t="n">
        <f aca="false">'Assumptions &amp; Data'!R403</f>
        <v>179339</v>
      </c>
      <c r="U269" s="37" t="n">
        <f aca="false">'Assumptions &amp; Data'!S403</f>
        <v>263122</v>
      </c>
      <c r="V269" s="39" t="n">
        <f aca="false">Q269-R269-S269-T269-U269</f>
        <v>-133211.81805274</v>
      </c>
      <c r="W269" s="39" t="n">
        <f aca="false">DAY(EOMONTH(C269,0))</f>
        <v>30</v>
      </c>
      <c r="X269" s="40" t="n">
        <f aca="false">E269/W269</f>
        <v>943.666666666667</v>
      </c>
      <c r="Y269" s="39" t="n">
        <f aca="false">R269+S269+T269+U269</f>
        <v>1908336</v>
      </c>
    </row>
    <row r="270" customFormat="false" ht="15" hidden="false" customHeight="false" outlineLevel="0" collapsed="false">
      <c r="A270" s="37" t="str">
        <f aca="false">'Assumptions &amp; Data'!A404</f>
        <v>SM0200</v>
      </c>
      <c r="B270" s="37" t="str">
        <f aca="false">'Assumptions &amp; Data'!B404</f>
        <v>DS017</v>
      </c>
      <c r="C270" s="38" t="n">
        <f aca="false">'Assumptions &amp; Data'!C404</f>
        <v>46143</v>
      </c>
      <c r="D270" s="39" t="str">
        <f aca="false">INDEX('Assumptions &amp; Data'!$B$142:$B$201,MATCH(B270,'Assumptions &amp; Data'!$A$142:$A$201,0))</f>
        <v>Mumbai MMR</v>
      </c>
      <c r="E270" s="37" t="n">
        <f aca="false">'Assumptions &amp; Data'!D404</f>
        <v>30547</v>
      </c>
      <c r="F270" s="39" t="n">
        <f aca="false">E270*'Assumptions &amp; Data'!E404</f>
        <v>22061043.4</v>
      </c>
      <c r="G270" s="39" t="n">
        <f aca="false">F270*'Assumptions &amp; Data'!F404</f>
        <v>1566334.0814</v>
      </c>
      <c r="H270" s="39" t="n">
        <f aca="false">F270-G270</f>
        <v>20494709.3186</v>
      </c>
      <c r="I270" s="39" t="n">
        <f aca="false">H270*'Assumptions &amp; Data'!G404</f>
        <v>3488199.52602572</v>
      </c>
      <c r="J270" s="39" t="n">
        <f aca="false">E270*'Assumptions &amp; Data'!H404</f>
        <v>381226.56</v>
      </c>
      <c r="K270" s="39" t="n">
        <f aca="false">H270*'Assumptions &amp; Data'!I404</f>
        <v>522615.0876243</v>
      </c>
      <c r="L270" s="39" t="n">
        <f aca="false">H270*'Assumptions &amp; Data'!J404</f>
        <v>397597.36078084</v>
      </c>
      <c r="M270" s="39" t="n">
        <f aca="false">I270+J270+K270-L270</f>
        <v>3994443.81286918</v>
      </c>
      <c r="N270" s="39" t="n">
        <f aca="false">E270*'Assumptions &amp; Data'!N404</f>
        <v>1342235.18</v>
      </c>
      <c r="O270" s="39" t="n">
        <f aca="false">E270*'Assumptions &amp; Data'!O404</f>
        <v>329907.6</v>
      </c>
      <c r="P270" s="39" t="n">
        <f aca="false">H270*'Assumptions &amp; Data'!P404</f>
        <v>202897.62225414</v>
      </c>
      <c r="Q270" s="39" t="n">
        <f aca="false">M270-N270-O270-P270</f>
        <v>2119403.41061504</v>
      </c>
      <c r="R270" s="39" t="n">
        <f aca="false">'Assumptions &amp; Data'!L404*'Assumptions &amp; Data'!M404</f>
        <v>648088</v>
      </c>
      <c r="S270" s="37" t="n">
        <f aca="false">'Assumptions &amp; Data'!Q404</f>
        <v>841500</v>
      </c>
      <c r="T270" s="37" t="n">
        <f aca="false">'Assumptions &amp; Data'!R404</f>
        <v>169858</v>
      </c>
      <c r="U270" s="37" t="n">
        <f aca="false">'Assumptions &amp; Data'!S404</f>
        <v>261821</v>
      </c>
      <c r="V270" s="39" t="n">
        <f aca="false">Q270-R270-S270-T270-U270</f>
        <v>198136.410615041</v>
      </c>
      <c r="W270" s="39" t="n">
        <f aca="false">DAY(EOMONTH(C270,0))</f>
        <v>31</v>
      </c>
      <c r="X270" s="40" t="n">
        <f aca="false">E270/W270</f>
        <v>985.387096774194</v>
      </c>
      <c r="Y270" s="39" t="n">
        <f aca="false">R270+S270+T270+U270</f>
        <v>1921267</v>
      </c>
    </row>
    <row r="271" customFormat="false" ht="15" hidden="false" customHeight="false" outlineLevel="0" collapsed="false">
      <c r="A271" s="37" t="str">
        <f aca="false">'Assumptions &amp; Data'!A405</f>
        <v>SM0201</v>
      </c>
      <c r="B271" s="37" t="str">
        <f aca="false">'Assumptions &amp; Data'!B405</f>
        <v>DS017</v>
      </c>
      <c r="C271" s="38" t="n">
        <f aca="false">'Assumptions &amp; Data'!C405</f>
        <v>46174</v>
      </c>
      <c r="D271" s="39" t="str">
        <f aca="false">INDEX('Assumptions &amp; Data'!$B$142:$B$201,MATCH(B271,'Assumptions &amp; Data'!$A$142:$A$201,0))</f>
        <v>Mumbai MMR</v>
      </c>
      <c r="E271" s="37" t="n">
        <f aca="false">'Assumptions &amp; Data'!D405</f>
        <v>33867</v>
      </c>
      <c r="F271" s="39" t="n">
        <f aca="false">E271*'Assumptions &amp; Data'!E405</f>
        <v>23784794.1</v>
      </c>
      <c r="G271" s="39" t="n">
        <f aca="false">F271*'Assumptions &amp; Data'!F405</f>
        <v>1793373.47514</v>
      </c>
      <c r="H271" s="39" t="n">
        <f aca="false">F271-G271</f>
        <v>21991420.62486</v>
      </c>
      <c r="I271" s="39" t="n">
        <f aca="false">H271*'Assumptions &amp; Data'!G405</f>
        <v>3672567.24435162</v>
      </c>
      <c r="J271" s="39" t="n">
        <f aca="false">E271*'Assumptions &amp; Data'!H405</f>
        <v>410806.71</v>
      </c>
      <c r="K271" s="39" t="n">
        <f aca="false">H271*'Assumptions &amp; Data'!I405</f>
        <v>637751.19812094</v>
      </c>
      <c r="L271" s="39" t="n">
        <f aca="false">H271*'Assumptions &amp; Data'!J405</f>
        <v>453023.264872116</v>
      </c>
      <c r="M271" s="39" t="n">
        <f aca="false">I271+J271+K271-L271</f>
        <v>4268101.88760044</v>
      </c>
      <c r="N271" s="39" t="n">
        <f aca="false">E271*'Assumptions &amp; Data'!N405</f>
        <v>1483713.27</v>
      </c>
      <c r="O271" s="39" t="n">
        <f aca="false">E271*'Assumptions &amp; Data'!O405</f>
        <v>380665.08</v>
      </c>
      <c r="P271" s="39" t="n">
        <f aca="false">H271*'Assumptions &amp; Data'!P405</f>
        <v>228710.774498544</v>
      </c>
      <c r="Q271" s="39" t="n">
        <f aca="false">M271-N271-O271-P271</f>
        <v>2175012.7631019</v>
      </c>
      <c r="R271" s="39" t="n">
        <f aca="false">'Assumptions &amp; Data'!L405*'Assumptions &amp; Data'!M405</f>
        <v>718177</v>
      </c>
      <c r="S271" s="37" t="n">
        <f aca="false">'Assumptions &amp; Data'!Q405</f>
        <v>841500</v>
      </c>
      <c r="T271" s="37" t="n">
        <f aca="false">'Assumptions &amp; Data'!R405</f>
        <v>184436</v>
      </c>
      <c r="U271" s="37" t="n">
        <f aca="false">'Assumptions &amp; Data'!S405</f>
        <v>250465</v>
      </c>
      <c r="V271" s="39" t="n">
        <f aca="false">Q271-R271-S271-T271-U271</f>
        <v>180434.763101899</v>
      </c>
      <c r="W271" s="39" t="n">
        <f aca="false">DAY(EOMONTH(C271,0))</f>
        <v>30</v>
      </c>
      <c r="X271" s="40" t="n">
        <f aca="false">E271/W271</f>
        <v>1128.9</v>
      </c>
      <c r="Y271" s="39" t="n">
        <f aca="false">R271+S271+T271+U271</f>
        <v>1994578</v>
      </c>
    </row>
    <row r="272" customFormat="false" ht="15" hidden="false" customHeight="false" outlineLevel="0" collapsed="false">
      <c r="A272" s="37" t="str">
        <f aca="false">'Assumptions &amp; Data'!A406</f>
        <v>SM0202</v>
      </c>
      <c r="B272" s="37" t="str">
        <f aca="false">'Assumptions &amp; Data'!B406</f>
        <v>DS017</v>
      </c>
      <c r="C272" s="38" t="n">
        <f aca="false">'Assumptions &amp; Data'!C406</f>
        <v>46204</v>
      </c>
      <c r="D272" s="39" t="str">
        <f aca="false">INDEX('Assumptions &amp; Data'!$B$142:$B$201,MATCH(B272,'Assumptions &amp; Data'!$A$142:$A$201,0))</f>
        <v>Mumbai MMR</v>
      </c>
      <c r="E272" s="37" t="n">
        <f aca="false">'Assumptions &amp; Data'!D406</f>
        <v>31804</v>
      </c>
      <c r="F272" s="39" t="n">
        <f aca="false">E272*'Assumptions &amp; Data'!E406</f>
        <v>22924323.2</v>
      </c>
      <c r="G272" s="39" t="n">
        <f aca="false">F272*'Assumptions &amp; Data'!F406</f>
        <v>1623042.08256</v>
      </c>
      <c r="H272" s="39" t="n">
        <f aca="false">F272-G272</f>
        <v>21301281.11744</v>
      </c>
      <c r="I272" s="39" t="n">
        <f aca="false">H272*'Assumptions &amp; Data'!G406</f>
        <v>3580745.35584166</v>
      </c>
      <c r="J272" s="39" t="n">
        <f aca="false">E272*'Assumptions &amp; Data'!H406</f>
        <v>367018.16</v>
      </c>
      <c r="K272" s="39" t="n">
        <f aca="false">H272*'Assumptions &amp; Data'!I406</f>
        <v>630517.921076224</v>
      </c>
      <c r="L272" s="39" t="n">
        <f aca="false">H272*'Assumptions &amp; Data'!J406</f>
        <v>430285.878572288</v>
      </c>
      <c r="M272" s="39" t="n">
        <f aca="false">I272+J272+K272-L272</f>
        <v>4147995.5583456</v>
      </c>
      <c r="N272" s="39" t="n">
        <f aca="false">E272*'Assumptions &amp; Data'!N406</f>
        <v>1389834.8</v>
      </c>
      <c r="O272" s="39" t="n">
        <f aca="false">E272*'Assumptions &amp; Data'!O406</f>
        <v>349525.96</v>
      </c>
      <c r="P272" s="39" t="n">
        <f aca="false">H272*'Assumptions &amp; Data'!P406</f>
        <v>210882.683062656</v>
      </c>
      <c r="Q272" s="39" t="n">
        <f aca="false">M272-N272-O272-P272</f>
        <v>2197752.11528294</v>
      </c>
      <c r="R272" s="39" t="n">
        <f aca="false">'Assumptions &amp; Data'!L406*'Assumptions &amp; Data'!M406</f>
        <v>626076</v>
      </c>
      <c r="S272" s="37" t="n">
        <f aca="false">'Assumptions &amp; Data'!Q406</f>
        <v>841500</v>
      </c>
      <c r="T272" s="37" t="n">
        <f aca="false">'Assumptions &amp; Data'!R406</f>
        <v>173108</v>
      </c>
      <c r="U272" s="37" t="n">
        <f aca="false">'Assumptions &amp; Data'!S406</f>
        <v>227803</v>
      </c>
      <c r="V272" s="39" t="n">
        <f aca="false">Q272-R272-S272-T272-U272</f>
        <v>329265.115282944</v>
      </c>
      <c r="W272" s="39" t="n">
        <f aca="false">DAY(EOMONTH(C272,0))</f>
        <v>31</v>
      </c>
      <c r="X272" s="40" t="n">
        <f aca="false">E272/W272</f>
        <v>1025.93548387097</v>
      </c>
      <c r="Y272" s="39" t="n">
        <f aca="false">R272+S272+T272+U272</f>
        <v>1868487</v>
      </c>
    </row>
    <row r="273" customFormat="false" ht="15" hidden="false" customHeight="false" outlineLevel="0" collapsed="false">
      <c r="A273" s="37" t="str">
        <f aca="false">'Assumptions &amp; Data'!A407</f>
        <v>SM0203</v>
      </c>
      <c r="B273" s="37" t="str">
        <f aca="false">'Assumptions &amp; Data'!B407</f>
        <v>DS017</v>
      </c>
      <c r="C273" s="38" t="n">
        <f aca="false">'Assumptions &amp; Data'!C407</f>
        <v>46235</v>
      </c>
      <c r="D273" s="39" t="str">
        <f aca="false">INDEX('Assumptions &amp; Data'!$B$142:$B$201,MATCH(B273,'Assumptions &amp; Data'!$A$142:$A$201,0))</f>
        <v>Mumbai MMR</v>
      </c>
      <c r="E273" s="37" t="n">
        <f aca="false">'Assumptions &amp; Data'!D407</f>
        <v>35288</v>
      </c>
      <c r="F273" s="39" t="n">
        <f aca="false">E273*'Assumptions &amp; Data'!E407</f>
        <v>24786291.2</v>
      </c>
      <c r="G273" s="39" t="n">
        <f aca="false">F273*'Assumptions &amp; Data'!F407</f>
        <v>1687946.43072</v>
      </c>
      <c r="H273" s="39" t="n">
        <f aca="false">F273-G273</f>
        <v>23098344.76928</v>
      </c>
      <c r="I273" s="39" t="n">
        <f aca="false">H273*'Assumptions &amp; Data'!G407</f>
        <v>3862043.24542362</v>
      </c>
      <c r="J273" s="39" t="n">
        <f aca="false">E273*'Assumptions &amp; Data'!H407</f>
        <v>420985.84</v>
      </c>
      <c r="K273" s="39" t="n">
        <f aca="false">H273*'Assumptions &amp; Data'!I407</f>
        <v>679091.336216832</v>
      </c>
      <c r="L273" s="39" t="n">
        <f aca="false">H273*'Assumptions &amp; Data'!J407</f>
        <v>489684.909108736</v>
      </c>
      <c r="M273" s="39" t="n">
        <f aca="false">I273+J273+K273-L273</f>
        <v>4472435.51253171</v>
      </c>
      <c r="N273" s="39" t="n">
        <f aca="false">E273*'Assumptions &amp; Data'!N407</f>
        <v>1529029.04</v>
      </c>
      <c r="O273" s="39" t="n">
        <f aca="false">E273*'Assumptions &amp; Data'!O407</f>
        <v>382874.8</v>
      </c>
      <c r="P273" s="39" t="n">
        <f aca="false">H273*'Assumptions &amp; Data'!P407</f>
        <v>226363.778738944</v>
      </c>
      <c r="Q273" s="39" t="n">
        <f aca="false">M273-N273-O273-P273</f>
        <v>2334167.89379277</v>
      </c>
      <c r="R273" s="39" t="n">
        <f aca="false">'Assumptions &amp; Data'!L407*'Assumptions &amp; Data'!M407</f>
        <v>765897</v>
      </c>
      <c r="S273" s="37" t="n">
        <f aca="false">'Assumptions &amp; Data'!Q407</f>
        <v>841500</v>
      </c>
      <c r="T273" s="37" t="n">
        <f aca="false">'Assumptions &amp; Data'!R407</f>
        <v>166204</v>
      </c>
      <c r="U273" s="37" t="n">
        <f aca="false">'Assumptions &amp; Data'!S407</f>
        <v>249605</v>
      </c>
      <c r="V273" s="39" t="n">
        <f aca="false">Q273-R273-S273-T273-U273</f>
        <v>310961.893792768</v>
      </c>
      <c r="W273" s="39" t="n">
        <f aca="false">DAY(EOMONTH(C273,0))</f>
        <v>31</v>
      </c>
      <c r="X273" s="40" t="n">
        <f aca="false">E273/W273</f>
        <v>1138.32258064516</v>
      </c>
      <c r="Y273" s="39" t="n">
        <f aca="false">R273+S273+T273+U273</f>
        <v>2023206</v>
      </c>
    </row>
    <row r="274" customFormat="false" ht="15" hidden="false" customHeight="false" outlineLevel="0" collapsed="false">
      <c r="A274" s="37" t="str">
        <f aca="false">'Assumptions &amp; Data'!A408</f>
        <v>SM0204</v>
      </c>
      <c r="B274" s="37" t="str">
        <f aca="false">'Assumptions &amp; Data'!B408</f>
        <v>DS017</v>
      </c>
      <c r="C274" s="38" t="n">
        <f aca="false">'Assumptions &amp; Data'!C408</f>
        <v>46266</v>
      </c>
      <c r="D274" s="39" t="str">
        <f aca="false">INDEX('Assumptions &amp; Data'!$B$142:$B$201,MATCH(B274,'Assumptions &amp; Data'!$A$142:$A$201,0))</f>
        <v>Mumbai MMR</v>
      </c>
      <c r="E274" s="37" t="n">
        <f aca="false">'Assumptions &amp; Data'!D408</f>
        <v>36848</v>
      </c>
      <c r="F274" s="39" t="n">
        <f aca="false">E274*'Assumptions &amp; Data'!E408</f>
        <v>26659528</v>
      </c>
      <c r="G274" s="39" t="n">
        <f aca="false">F274*'Assumptions &amp; Data'!F408</f>
        <v>1807515.9984</v>
      </c>
      <c r="H274" s="39" t="n">
        <f aca="false">F274-G274</f>
        <v>24852012.0016</v>
      </c>
      <c r="I274" s="39" t="n">
        <f aca="false">H274*'Assumptions &amp; Data'!G408</f>
        <v>4197504.82707024</v>
      </c>
      <c r="J274" s="39" t="n">
        <f aca="false">E274*'Assumptions &amp; Data'!H408</f>
        <v>434806.4</v>
      </c>
      <c r="K274" s="39" t="n">
        <f aca="false">H274*'Assumptions &amp; Data'!I408</f>
        <v>767927.17084944</v>
      </c>
      <c r="L274" s="39" t="n">
        <f aca="false">H274*'Assumptions &amp; Data'!J408</f>
        <v>492069.83763168</v>
      </c>
      <c r="M274" s="39" t="n">
        <f aca="false">I274+J274+K274-L274</f>
        <v>4908168.560288</v>
      </c>
      <c r="N274" s="39" t="n">
        <f aca="false">E274*'Assumptions &amp; Data'!N408</f>
        <v>1626102.24</v>
      </c>
      <c r="O274" s="39" t="n">
        <f aca="false">E274*'Assumptions &amp; Data'!O408</f>
        <v>403117.12</v>
      </c>
      <c r="P274" s="39" t="n">
        <f aca="false">H274*'Assumptions &amp; Data'!P408</f>
        <v>243549.71761568</v>
      </c>
      <c r="Q274" s="39" t="n">
        <f aca="false">M274-N274-O274-P274</f>
        <v>2635399.48267232</v>
      </c>
      <c r="R274" s="39" t="n">
        <f aca="false">'Assumptions &amp; Data'!L408*'Assumptions &amp; Data'!M408</f>
        <v>813050</v>
      </c>
      <c r="S274" s="37" t="n">
        <f aca="false">'Assumptions &amp; Data'!Q408</f>
        <v>841500</v>
      </c>
      <c r="T274" s="37" t="n">
        <f aca="false">'Assumptions &amp; Data'!R408</f>
        <v>173768</v>
      </c>
      <c r="U274" s="37" t="n">
        <f aca="false">'Assumptions &amp; Data'!S408</f>
        <v>270613</v>
      </c>
      <c r="V274" s="39" t="n">
        <f aca="false">Q274-R274-S274-T274-U274</f>
        <v>536468.48267232</v>
      </c>
      <c r="W274" s="39" t="n">
        <f aca="false">DAY(EOMONTH(C274,0))</f>
        <v>30</v>
      </c>
      <c r="X274" s="40" t="n">
        <f aca="false">E274/W274</f>
        <v>1228.26666666667</v>
      </c>
      <c r="Y274" s="39" t="n">
        <f aca="false">R274+S274+T274+U274</f>
        <v>2098931</v>
      </c>
    </row>
    <row r="275" customFormat="false" ht="15" hidden="false" customHeight="false" outlineLevel="0" collapsed="false">
      <c r="A275" s="37" t="str">
        <f aca="false">'Assumptions &amp; Data'!A409</f>
        <v>SM0205</v>
      </c>
      <c r="B275" s="37" t="str">
        <f aca="false">'Assumptions &amp; Data'!B409</f>
        <v>DS018</v>
      </c>
      <c r="C275" s="38" t="n">
        <f aca="false">'Assumptions &amp; Data'!C409</f>
        <v>45931</v>
      </c>
      <c r="D275" s="39" t="str">
        <f aca="false">INDEX('Assumptions &amp; Data'!$B$142:$B$201,MATCH(B275,'Assumptions &amp; Data'!$A$142:$A$201,0))</f>
        <v>Mumbai MMR</v>
      </c>
      <c r="E275" s="37" t="n">
        <f aca="false">'Assumptions &amp; Data'!D409</f>
        <v>26227</v>
      </c>
      <c r="F275" s="39" t="n">
        <f aca="false">E275*'Assumptions &amp; Data'!E409</f>
        <v>18020571.7</v>
      </c>
      <c r="G275" s="39" t="n">
        <f aca="false">F275*'Assumptions &amp; Data'!F409</f>
        <v>911840.92802</v>
      </c>
      <c r="H275" s="39" t="n">
        <f aca="false">F275-G275</f>
        <v>17108730.77198</v>
      </c>
      <c r="I275" s="39" t="n">
        <f aca="false">H275*'Assumptions &amp; Data'!G409</f>
        <v>2822940.5773767</v>
      </c>
      <c r="J275" s="39" t="n">
        <f aca="false">E275*'Assumptions &amp; Data'!H409</f>
        <v>319707.13</v>
      </c>
      <c r="K275" s="39" t="n">
        <f aca="false">H275*'Assumptions &amp; Data'!I409</f>
        <v>460224.857766262</v>
      </c>
      <c r="L275" s="39" t="n">
        <f aca="false">H275*'Assumptions &amp; Data'!J409</f>
        <v>379813.823137956</v>
      </c>
      <c r="M275" s="39" t="n">
        <f aca="false">I275+J275+K275-L275</f>
        <v>3223058.74200501</v>
      </c>
      <c r="N275" s="39" t="n">
        <f aca="false">E275*'Assumptions &amp; Data'!N409</f>
        <v>989020.17</v>
      </c>
      <c r="O275" s="39" t="n">
        <f aca="false">E275*'Assumptions &amp; Data'!O409</f>
        <v>295053.75</v>
      </c>
      <c r="P275" s="39" t="n">
        <f aca="false">H275*'Assumptions &amp; Data'!P409</f>
        <v>174509.053874196</v>
      </c>
      <c r="Q275" s="39" t="n">
        <f aca="false">M275-N275-O275-P275</f>
        <v>1764475.76813081</v>
      </c>
      <c r="R275" s="39" t="n">
        <f aca="false">'Assumptions &amp; Data'!L409*'Assumptions &amp; Data'!M409</f>
        <v>483000</v>
      </c>
      <c r="S275" s="37" t="n">
        <f aca="false">'Assumptions &amp; Data'!Q409</f>
        <v>660000</v>
      </c>
      <c r="T275" s="37" t="n">
        <f aca="false">'Assumptions &amp; Data'!R409</f>
        <v>142336</v>
      </c>
      <c r="U275" s="37" t="n">
        <f aca="false">'Assumptions &amp; Data'!S409</f>
        <v>121069</v>
      </c>
      <c r="V275" s="39" t="n">
        <f aca="false">Q275-R275-S275-T275-U275</f>
        <v>358070.76813081</v>
      </c>
      <c r="W275" s="39" t="n">
        <f aca="false">DAY(EOMONTH(C275,0))</f>
        <v>31</v>
      </c>
      <c r="X275" s="40" t="n">
        <f aca="false">E275/W275</f>
        <v>846.032258064516</v>
      </c>
      <c r="Y275" s="39" t="n">
        <f aca="false">R275+S275+T275+U275</f>
        <v>1406405</v>
      </c>
    </row>
    <row r="276" customFormat="false" ht="15" hidden="false" customHeight="false" outlineLevel="0" collapsed="false">
      <c r="A276" s="37" t="str">
        <f aca="false">'Assumptions &amp; Data'!A410</f>
        <v>SM0206</v>
      </c>
      <c r="B276" s="37" t="str">
        <f aca="false">'Assumptions &amp; Data'!B410</f>
        <v>DS018</v>
      </c>
      <c r="C276" s="38" t="n">
        <f aca="false">'Assumptions &amp; Data'!C410</f>
        <v>45962</v>
      </c>
      <c r="D276" s="39" t="str">
        <f aca="false">INDEX('Assumptions &amp; Data'!$B$142:$B$201,MATCH(B276,'Assumptions &amp; Data'!$A$142:$A$201,0))</f>
        <v>Mumbai MMR</v>
      </c>
      <c r="E276" s="37" t="n">
        <f aca="false">'Assumptions &amp; Data'!D410</f>
        <v>24100</v>
      </c>
      <c r="F276" s="39" t="n">
        <f aca="false">E276*'Assumptions &amp; Data'!E410</f>
        <v>17335130</v>
      </c>
      <c r="G276" s="39" t="n">
        <f aca="false">F276*'Assumptions &amp; Data'!F410</f>
        <v>891025.682</v>
      </c>
      <c r="H276" s="39" t="n">
        <f aca="false">F276-G276</f>
        <v>16444104.318</v>
      </c>
      <c r="I276" s="39" t="n">
        <f aca="false">H276*'Assumptions &amp; Data'!G410</f>
        <v>2728076.9063562</v>
      </c>
      <c r="J276" s="39" t="n">
        <f aca="false">E276*'Assumptions &amp; Data'!H410</f>
        <v>307034</v>
      </c>
      <c r="K276" s="39" t="n">
        <f aca="false">H276*'Assumptions &amp; Data'!I410</f>
        <v>409458.1975182</v>
      </c>
      <c r="L276" s="39" t="n">
        <f aca="false">H276*'Assumptions &amp; Data'!J410</f>
        <v>406169.3766546</v>
      </c>
      <c r="M276" s="39" t="n">
        <f aca="false">I276+J276+K276-L276</f>
        <v>3038399.7272198</v>
      </c>
      <c r="N276" s="39" t="n">
        <f aca="false">E276*'Assumptions &amp; Data'!N410</f>
        <v>945925</v>
      </c>
      <c r="O276" s="39" t="n">
        <f aca="false">E276*'Assumptions &amp; Data'!O410</f>
        <v>263654</v>
      </c>
      <c r="P276" s="39" t="n">
        <f aca="false">H276*'Assumptions &amp; Data'!P410</f>
        <v>161152.2223164</v>
      </c>
      <c r="Q276" s="39" t="n">
        <f aca="false">M276-N276-O276-P276</f>
        <v>1667668.5049034</v>
      </c>
      <c r="R276" s="39" t="n">
        <f aca="false">'Assumptions &amp; Data'!L410*'Assumptions &amp; Data'!M410</f>
        <v>437399</v>
      </c>
      <c r="S276" s="37" t="n">
        <f aca="false">'Assumptions &amp; Data'!Q410</f>
        <v>660000</v>
      </c>
      <c r="T276" s="37" t="n">
        <f aca="false">'Assumptions &amp; Data'!R410</f>
        <v>139326</v>
      </c>
      <c r="U276" s="37" t="n">
        <f aca="false">'Assumptions &amp; Data'!S410</f>
        <v>119916</v>
      </c>
      <c r="V276" s="39" t="n">
        <f aca="false">Q276-R276-S276-T276-U276</f>
        <v>311027.5049034</v>
      </c>
      <c r="W276" s="39" t="n">
        <f aca="false">DAY(EOMONTH(C276,0))</f>
        <v>30</v>
      </c>
      <c r="X276" s="40" t="n">
        <f aca="false">E276/W276</f>
        <v>803.333333333333</v>
      </c>
      <c r="Y276" s="39" t="n">
        <f aca="false">R276+S276+T276+U276</f>
        <v>1356641</v>
      </c>
    </row>
    <row r="277" customFormat="false" ht="15" hidden="false" customHeight="false" outlineLevel="0" collapsed="false">
      <c r="A277" s="37" t="str">
        <f aca="false">'Assumptions &amp; Data'!A411</f>
        <v>SM0207</v>
      </c>
      <c r="B277" s="37" t="str">
        <f aca="false">'Assumptions &amp; Data'!B411</f>
        <v>DS018</v>
      </c>
      <c r="C277" s="38" t="n">
        <f aca="false">'Assumptions &amp; Data'!C411</f>
        <v>45992</v>
      </c>
      <c r="D277" s="39" t="str">
        <f aca="false">INDEX('Assumptions &amp; Data'!$B$142:$B$201,MATCH(B277,'Assumptions &amp; Data'!$A$142:$A$201,0))</f>
        <v>Mumbai MMR</v>
      </c>
      <c r="E277" s="37" t="n">
        <f aca="false">'Assumptions &amp; Data'!D411</f>
        <v>24481</v>
      </c>
      <c r="F277" s="39" t="n">
        <f aca="false">E277*'Assumptions &amp; Data'!E411</f>
        <v>16718074.9</v>
      </c>
      <c r="G277" s="39" t="n">
        <f aca="false">F277*'Assumptions &amp; Data'!F411</f>
        <v>859309.04986</v>
      </c>
      <c r="H277" s="39" t="n">
        <f aca="false">F277-G277</f>
        <v>15858765.85014</v>
      </c>
      <c r="I277" s="39" t="n">
        <f aca="false">H277*'Assumptions &amp; Data'!G411</f>
        <v>2604009.35259299</v>
      </c>
      <c r="J277" s="39" t="n">
        <f aca="false">E277*'Assumptions &amp; Data'!H411</f>
        <v>299402.63</v>
      </c>
      <c r="K277" s="39" t="n">
        <f aca="false">H277*'Assumptions &amp; Data'!I411</f>
        <v>402812.652593556</v>
      </c>
      <c r="L277" s="39" t="n">
        <f aca="false">H277*'Assumptions &amp; Data'!J411</f>
        <v>386953.886743416</v>
      </c>
      <c r="M277" s="39" t="n">
        <f aca="false">I277+J277+K277-L277</f>
        <v>2919270.74844313</v>
      </c>
      <c r="N277" s="39" t="n">
        <f aca="false">E277*'Assumptions &amp; Data'!N411</f>
        <v>960389.63</v>
      </c>
      <c r="O277" s="39" t="n">
        <f aca="false">E277*'Assumptions &amp; Data'!O411</f>
        <v>266353.28</v>
      </c>
      <c r="P277" s="39" t="n">
        <f aca="false">H277*'Assumptions &amp; Data'!P411</f>
        <v>169688.794596498</v>
      </c>
      <c r="Q277" s="39" t="n">
        <f aca="false">M277-N277-O277-P277</f>
        <v>1522839.04384663</v>
      </c>
      <c r="R277" s="39" t="n">
        <f aca="false">'Assumptions &amp; Data'!L411*'Assumptions &amp; Data'!M411</f>
        <v>437798</v>
      </c>
      <c r="S277" s="37" t="n">
        <f aca="false">'Assumptions &amp; Data'!Q411</f>
        <v>660000</v>
      </c>
      <c r="T277" s="37" t="n">
        <f aca="false">'Assumptions &amp; Data'!R411</f>
        <v>131365</v>
      </c>
      <c r="U277" s="37" t="n">
        <f aca="false">'Assumptions &amp; Data'!S411</f>
        <v>109879</v>
      </c>
      <c r="V277" s="39" t="n">
        <f aca="false">Q277-R277-S277-T277-U277</f>
        <v>183797.04384663</v>
      </c>
      <c r="W277" s="39" t="n">
        <f aca="false">DAY(EOMONTH(C277,0))</f>
        <v>31</v>
      </c>
      <c r="X277" s="40" t="n">
        <f aca="false">E277/W277</f>
        <v>789.709677419355</v>
      </c>
      <c r="Y277" s="39" t="n">
        <f aca="false">R277+S277+T277+U277</f>
        <v>1339042</v>
      </c>
    </row>
    <row r="278" customFormat="false" ht="15" hidden="false" customHeight="false" outlineLevel="0" collapsed="false">
      <c r="A278" s="37" t="str">
        <f aca="false">'Assumptions &amp; Data'!A412</f>
        <v>SM0208</v>
      </c>
      <c r="B278" s="37" t="str">
        <f aca="false">'Assumptions &amp; Data'!B412</f>
        <v>DS018</v>
      </c>
      <c r="C278" s="38" t="n">
        <f aca="false">'Assumptions &amp; Data'!C412</f>
        <v>46023</v>
      </c>
      <c r="D278" s="39" t="str">
        <f aca="false">INDEX('Assumptions &amp; Data'!$B$142:$B$201,MATCH(B278,'Assumptions &amp; Data'!$A$142:$A$201,0))</f>
        <v>Mumbai MMR</v>
      </c>
      <c r="E278" s="37" t="n">
        <f aca="false">'Assumptions &amp; Data'!D412</f>
        <v>23890</v>
      </c>
      <c r="F278" s="39" t="n">
        <f aca="false">E278*'Assumptions &amp; Data'!E412</f>
        <v>17282026</v>
      </c>
      <c r="G278" s="39" t="n">
        <f aca="false">F278*'Assumptions &amp; Data'!F412</f>
        <v>966065.2534</v>
      </c>
      <c r="H278" s="39" t="n">
        <f aca="false">F278-G278</f>
        <v>16315960.7466</v>
      </c>
      <c r="I278" s="39" t="n">
        <f aca="false">H278*'Assumptions &amp; Data'!G412</f>
        <v>2672554.37029308</v>
      </c>
      <c r="J278" s="39" t="n">
        <f aca="false">E278*'Assumptions &amp; Data'!H412</f>
        <v>300297.3</v>
      </c>
      <c r="K278" s="39" t="n">
        <f aca="false">H278*'Assumptions &amp; Data'!I412</f>
        <v>432372.9597849</v>
      </c>
      <c r="L278" s="39" t="n">
        <f aca="false">H278*'Assumptions &amp; Data'!J412</f>
        <v>401372.63436636</v>
      </c>
      <c r="M278" s="39" t="n">
        <f aca="false">I278+J278+K278-L278</f>
        <v>3003851.99571162</v>
      </c>
      <c r="N278" s="39" t="n">
        <f aca="false">E278*'Assumptions &amp; Data'!N412</f>
        <v>946282.9</v>
      </c>
      <c r="O278" s="39" t="n">
        <f aca="false">E278*'Assumptions &amp; Data'!O412</f>
        <v>255861.9</v>
      </c>
      <c r="P278" s="39" t="n">
        <f aca="false">H278*'Assumptions &amp; Data'!P412</f>
        <v>164791.20354066</v>
      </c>
      <c r="Q278" s="39" t="n">
        <f aca="false">M278-N278-O278-P278</f>
        <v>1636915.99217096</v>
      </c>
      <c r="R278" s="39" t="n">
        <f aca="false">'Assumptions &amp; Data'!L412*'Assumptions &amp; Data'!M412</f>
        <v>438197</v>
      </c>
      <c r="S278" s="37" t="n">
        <f aca="false">'Assumptions &amp; Data'!Q412</f>
        <v>660000</v>
      </c>
      <c r="T278" s="37" t="n">
        <f aca="false">'Assumptions &amp; Data'!R412</f>
        <v>139883</v>
      </c>
      <c r="U278" s="37" t="n">
        <f aca="false">'Assumptions &amp; Data'!S412</f>
        <v>118326</v>
      </c>
      <c r="V278" s="39" t="n">
        <f aca="false">Q278-R278-S278-T278-U278</f>
        <v>280509.99217096</v>
      </c>
      <c r="W278" s="39" t="n">
        <f aca="false">DAY(EOMONTH(C278,0))</f>
        <v>31</v>
      </c>
      <c r="X278" s="40" t="n">
        <f aca="false">E278/W278</f>
        <v>770.645161290323</v>
      </c>
      <c r="Y278" s="39" t="n">
        <f aca="false">R278+S278+T278+U278</f>
        <v>1356406</v>
      </c>
    </row>
    <row r="279" customFormat="false" ht="15" hidden="false" customHeight="false" outlineLevel="0" collapsed="false">
      <c r="A279" s="37" t="str">
        <f aca="false">'Assumptions &amp; Data'!A413</f>
        <v>SM0209</v>
      </c>
      <c r="B279" s="37" t="str">
        <f aca="false">'Assumptions &amp; Data'!B413</f>
        <v>DS018</v>
      </c>
      <c r="C279" s="38" t="n">
        <f aca="false">'Assumptions &amp; Data'!C413</f>
        <v>46054</v>
      </c>
      <c r="D279" s="39" t="str">
        <f aca="false">INDEX('Assumptions &amp; Data'!$B$142:$B$201,MATCH(B279,'Assumptions &amp; Data'!$A$142:$A$201,0))</f>
        <v>Mumbai MMR</v>
      </c>
      <c r="E279" s="37" t="n">
        <f aca="false">'Assumptions &amp; Data'!D413</f>
        <v>22526</v>
      </c>
      <c r="F279" s="39" t="n">
        <f aca="false">E279*'Assumptions &amp; Data'!E413</f>
        <v>15696116.8</v>
      </c>
      <c r="G279" s="39" t="n">
        <f aca="false">F279*'Assumptions &amp; Data'!F413</f>
        <v>842881.47216</v>
      </c>
      <c r="H279" s="39" t="n">
        <f aca="false">F279-G279</f>
        <v>14853235.32784</v>
      </c>
      <c r="I279" s="39" t="n">
        <f aca="false">H279*'Assumptions &amp; Data'!G413</f>
        <v>2456725.12322474</v>
      </c>
      <c r="J279" s="39" t="n">
        <f aca="false">E279*'Assumptions &amp; Data'!H413</f>
        <v>264004.72</v>
      </c>
      <c r="K279" s="39" t="n">
        <f aca="false">H279*'Assumptions &amp; Data'!I413</f>
        <v>387669.442056624</v>
      </c>
      <c r="L279" s="39" t="n">
        <f aca="false">H279*'Assumptions &amp; Data'!J413</f>
        <v>360933.618466512</v>
      </c>
      <c r="M279" s="39" t="n">
        <f aca="false">I279+J279+K279-L279</f>
        <v>2747465.66681485</v>
      </c>
      <c r="N279" s="39" t="n">
        <f aca="false">E279*'Assumptions &amp; Data'!N413</f>
        <v>886623.36</v>
      </c>
      <c r="O279" s="39" t="n">
        <f aca="false">E279*'Assumptions &amp; Data'!O413</f>
        <v>241253.46</v>
      </c>
      <c r="P279" s="39" t="n">
        <f aca="false">H279*'Assumptions &amp; Data'!P413</f>
        <v>142591.059147264</v>
      </c>
      <c r="Q279" s="39" t="n">
        <f aca="false">M279-N279-O279-P279</f>
        <v>1476997.78766758</v>
      </c>
      <c r="R279" s="39" t="n">
        <f aca="false">'Assumptions &amp; Data'!L413*'Assumptions &amp; Data'!M413</f>
        <v>415512</v>
      </c>
      <c r="S279" s="37" t="n">
        <f aca="false">'Assumptions &amp; Data'!Q413</f>
        <v>660000</v>
      </c>
      <c r="T279" s="37" t="n">
        <f aca="false">'Assumptions &amp; Data'!R413</f>
        <v>136475</v>
      </c>
      <c r="U279" s="37" t="n">
        <f aca="false">'Assumptions &amp; Data'!S413</f>
        <v>104432</v>
      </c>
      <c r="V279" s="39" t="n">
        <f aca="false">Q279-R279-S279-T279-U279</f>
        <v>160578.787667585</v>
      </c>
      <c r="W279" s="39" t="n">
        <f aca="false">DAY(EOMONTH(C279,0))</f>
        <v>28</v>
      </c>
      <c r="X279" s="40" t="n">
        <f aca="false">E279/W279</f>
        <v>804.5</v>
      </c>
      <c r="Y279" s="39" t="n">
        <f aca="false">R279+S279+T279+U279</f>
        <v>1316419</v>
      </c>
    </row>
    <row r="280" customFormat="false" ht="15" hidden="false" customHeight="false" outlineLevel="0" collapsed="false">
      <c r="A280" s="37" t="str">
        <f aca="false">'Assumptions &amp; Data'!A414</f>
        <v>SM0210</v>
      </c>
      <c r="B280" s="37" t="str">
        <f aca="false">'Assumptions &amp; Data'!B414</f>
        <v>DS018</v>
      </c>
      <c r="C280" s="38" t="n">
        <f aca="false">'Assumptions &amp; Data'!C414</f>
        <v>46082</v>
      </c>
      <c r="D280" s="39" t="str">
        <f aca="false">INDEX('Assumptions &amp; Data'!$B$142:$B$201,MATCH(B280,'Assumptions &amp; Data'!$A$142:$A$201,0))</f>
        <v>Mumbai MMR</v>
      </c>
      <c r="E280" s="37" t="n">
        <f aca="false">'Assumptions &amp; Data'!D414</f>
        <v>24687</v>
      </c>
      <c r="F280" s="39" t="n">
        <f aca="false">E280*'Assumptions &amp; Data'!E414</f>
        <v>16747660.8</v>
      </c>
      <c r="G280" s="39" t="n">
        <f aca="false">F280*'Assumptions &amp; Data'!F414</f>
        <v>860829.76512</v>
      </c>
      <c r="H280" s="39" t="n">
        <f aca="false">F280-G280</f>
        <v>15886831.03488</v>
      </c>
      <c r="I280" s="39" t="n">
        <f aca="false">H280*'Assumptions &amp; Data'!G414</f>
        <v>2611795.02213427</v>
      </c>
      <c r="J280" s="39" t="n">
        <f aca="false">E280*'Assumptions &amp; Data'!H414</f>
        <v>284147.37</v>
      </c>
      <c r="K280" s="39" t="n">
        <f aca="false">H280*'Assumptions &amp; Data'!I414</f>
        <v>408291.557596416</v>
      </c>
      <c r="L280" s="39" t="n">
        <f aca="false">H280*'Assumptions &amp; Data'!J414</f>
        <v>379695.261733632</v>
      </c>
      <c r="M280" s="39" t="n">
        <f aca="false">I280+J280+K280-L280</f>
        <v>2924538.68799706</v>
      </c>
      <c r="N280" s="39" t="n">
        <f aca="false">E280*'Assumptions &amp; Data'!N414</f>
        <v>966496.05</v>
      </c>
      <c r="O280" s="39" t="n">
        <f aca="false">E280*'Assumptions &amp; Data'!O414</f>
        <v>272791.35</v>
      </c>
      <c r="P280" s="39" t="n">
        <f aca="false">H280*'Assumptions &amp; Data'!P414</f>
        <v>160456.993452288</v>
      </c>
      <c r="Q280" s="39" t="n">
        <f aca="false">M280-N280-O280-P280</f>
        <v>1524794.29454477</v>
      </c>
      <c r="R280" s="39" t="n">
        <f aca="false">'Assumptions &amp; Data'!L414*'Assumptions &amp; Data'!M414</f>
        <v>438995</v>
      </c>
      <c r="S280" s="37" t="n">
        <f aca="false">'Assumptions &amp; Data'!Q414</f>
        <v>660000</v>
      </c>
      <c r="T280" s="37" t="n">
        <f aca="false">'Assumptions &amp; Data'!R414</f>
        <v>144065</v>
      </c>
      <c r="U280" s="37" t="n">
        <f aca="false">'Assumptions &amp; Data'!S414</f>
        <v>100659</v>
      </c>
      <c r="V280" s="39" t="n">
        <f aca="false">Q280-R280-S280-T280-U280</f>
        <v>181075.294544768</v>
      </c>
      <c r="W280" s="39" t="n">
        <f aca="false">DAY(EOMONTH(C280,0))</f>
        <v>31</v>
      </c>
      <c r="X280" s="40" t="n">
        <f aca="false">E280/W280</f>
        <v>796.354838709677</v>
      </c>
      <c r="Y280" s="39" t="n">
        <f aca="false">R280+S280+T280+U280</f>
        <v>1343719</v>
      </c>
    </row>
    <row r="281" customFormat="false" ht="15" hidden="false" customHeight="false" outlineLevel="0" collapsed="false">
      <c r="A281" s="37" t="str">
        <f aca="false">'Assumptions &amp; Data'!A415</f>
        <v>SM0211</v>
      </c>
      <c r="B281" s="37" t="str">
        <f aca="false">'Assumptions &amp; Data'!B415</f>
        <v>DS018</v>
      </c>
      <c r="C281" s="38" t="n">
        <f aca="false">'Assumptions &amp; Data'!C415</f>
        <v>46113</v>
      </c>
      <c r="D281" s="39" t="str">
        <f aca="false">INDEX('Assumptions &amp; Data'!$B$142:$B$201,MATCH(B281,'Assumptions &amp; Data'!$A$142:$A$201,0))</f>
        <v>Mumbai MMR</v>
      </c>
      <c r="E281" s="37" t="n">
        <f aca="false">'Assumptions &amp; Data'!D415</f>
        <v>26338</v>
      </c>
      <c r="F281" s="39" t="n">
        <f aca="false">E281*'Assumptions &amp; Data'!E415</f>
        <v>18489276</v>
      </c>
      <c r="G281" s="39" t="n">
        <f aca="false">F281*'Assumptions &amp; Data'!F415</f>
        <v>933708.438</v>
      </c>
      <c r="H281" s="39" t="n">
        <f aca="false">F281-G281</f>
        <v>17555567.562</v>
      </c>
      <c r="I281" s="39" t="n">
        <f aca="false">H281*'Assumptions &amp; Data'!G415</f>
        <v>2956357.5774408</v>
      </c>
      <c r="J281" s="39" t="n">
        <f aca="false">E281*'Assumptions &amp; Data'!H415</f>
        <v>316582.76</v>
      </c>
      <c r="K281" s="39" t="n">
        <f aca="false">H281*'Assumptions &amp; Data'!I415</f>
        <v>463466.9836368</v>
      </c>
      <c r="L281" s="39" t="n">
        <f aca="false">H281*'Assumptions &amp; Data'!J415</f>
        <v>395000.270145</v>
      </c>
      <c r="M281" s="39" t="n">
        <f aca="false">I281+J281+K281-L281</f>
        <v>3341407.0509326</v>
      </c>
      <c r="N281" s="39" t="n">
        <f aca="false">E281*'Assumptions &amp; Data'!N415</f>
        <v>1021651.02</v>
      </c>
      <c r="O281" s="39" t="n">
        <f aca="false">E281*'Assumptions &amp; Data'!O415</f>
        <v>284977.16</v>
      </c>
      <c r="P281" s="39" t="n">
        <f aca="false">H281*'Assumptions &amp; Data'!P415</f>
        <v>173800.1188638</v>
      </c>
      <c r="Q281" s="39" t="n">
        <f aca="false">M281-N281-O281-P281</f>
        <v>1860978.7520688</v>
      </c>
      <c r="R281" s="39" t="n">
        <f aca="false">'Assumptions &amp; Data'!L415*'Assumptions &amp; Data'!M415</f>
        <v>462500</v>
      </c>
      <c r="S281" s="37" t="n">
        <f aca="false">'Assumptions &amp; Data'!Q415</f>
        <v>660000</v>
      </c>
      <c r="T281" s="37" t="n">
        <f aca="false">'Assumptions &amp; Data'!R415</f>
        <v>128609</v>
      </c>
      <c r="U281" s="37" t="n">
        <f aca="false">'Assumptions &amp; Data'!S415</f>
        <v>112839</v>
      </c>
      <c r="V281" s="39" t="n">
        <f aca="false">Q281-R281-S281-T281-U281</f>
        <v>497030.7520688</v>
      </c>
      <c r="W281" s="39" t="n">
        <f aca="false">DAY(EOMONTH(C281,0))</f>
        <v>30</v>
      </c>
      <c r="X281" s="40" t="n">
        <f aca="false">E281/W281</f>
        <v>877.933333333333</v>
      </c>
      <c r="Y281" s="39" t="n">
        <f aca="false">R281+S281+T281+U281</f>
        <v>1363948</v>
      </c>
    </row>
    <row r="282" customFormat="false" ht="15" hidden="false" customHeight="false" outlineLevel="0" collapsed="false">
      <c r="A282" s="37" t="str">
        <f aca="false">'Assumptions &amp; Data'!A416</f>
        <v>SM0212</v>
      </c>
      <c r="B282" s="37" t="str">
        <f aca="false">'Assumptions &amp; Data'!B416</f>
        <v>DS018</v>
      </c>
      <c r="C282" s="38" t="n">
        <f aca="false">'Assumptions &amp; Data'!C416</f>
        <v>46143</v>
      </c>
      <c r="D282" s="39" t="str">
        <f aca="false">INDEX('Assumptions &amp; Data'!$B$142:$B$201,MATCH(B282,'Assumptions &amp; Data'!$A$142:$A$201,0))</f>
        <v>Mumbai MMR</v>
      </c>
      <c r="E282" s="37" t="n">
        <f aca="false">'Assumptions &amp; Data'!D416</f>
        <v>27139</v>
      </c>
      <c r="F282" s="39" t="n">
        <f aca="false">E282*'Assumptions &amp; Data'!E416</f>
        <v>19184559.1</v>
      </c>
      <c r="G282" s="39" t="n">
        <f aca="false">F282*'Assumptions &amp; Data'!F416</f>
        <v>1045558.47095</v>
      </c>
      <c r="H282" s="39" t="n">
        <f aca="false">F282-G282</f>
        <v>18139000.62905</v>
      </c>
      <c r="I282" s="39" t="n">
        <f aca="false">H282*'Assumptions &amp; Data'!G416</f>
        <v>3000190.70404487</v>
      </c>
      <c r="J282" s="39" t="n">
        <f aca="false">E282*'Assumptions &amp; Data'!H416</f>
        <v>350364.49</v>
      </c>
      <c r="K282" s="39" t="n">
        <f aca="false">H282*'Assumptions &amp; Data'!I416</f>
        <v>489753.01698435</v>
      </c>
      <c r="L282" s="39" t="n">
        <f aca="false">H282*'Assumptions &amp; Data'!J416</f>
        <v>424452.61471977</v>
      </c>
      <c r="M282" s="39" t="n">
        <f aca="false">I282+J282+K282-L282</f>
        <v>3415855.59630945</v>
      </c>
      <c r="N282" s="39" t="n">
        <f aca="false">E282*'Assumptions &amp; Data'!N416</f>
        <v>1061134.9</v>
      </c>
      <c r="O282" s="39" t="n">
        <f aca="false">E282*'Assumptions &amp; Data'!O416</f>
        <v>295000.93</v>
      </c>
      <c r="P282" s="39" t="n">
        <f aca="false">H282*'Assumptions &amp; Data'!P416</f>
        <v>177762.20616469</v>
      </c>
      <c r="Q282" s="39" t="n">
        <f aca="false">M282-N282-O282-P282</f>
        <v>1881957.56014476</v>
      </c>
      <c r="R282" s="39" t="n">
        <f aca="false">'Assumptions &amp; Data'!L416*'Assumptions &amp; Data'!M416</f>
        <v>486066</v>
      </c>
      <c r="S282" s="37" t="n">
        <f aca="false">'Assumptions &amp; Data'!Q416</f>
        <v>660000</v>
      </c>
      <c r="T282" s="37" t="n">
        <f aca="false">'Assumptions &amp; Data'!R416</f>
        <v>140758</v>
      </c>
      <c r="U282" s="37" t="n">
        <f aca="false">'Assumptions &amp; Data'!S416</f>
        <v>106458</v>
      </c>
      <c r="V282" s="39" t="n">
        <f aca="false">Q282-R282-S282-T282-U282</f>
        <v>488675.560144759</v>
      </c>
      <c r="W282" s="39" t="n">
        <f aca="false">DAY(EOMONTH(C282,0))</f>
        <v>31</v>
      </c>
      <c r="X282" s="40" t="n">
        <f aca="false">E282/W282</f>
        <v>875.451612903226</v>
      </c>
      <c r="Y282" s="39" t="n">
        <f aca="false">R282+S282+T282+U282</f>
        <v>1393282</v>
      </c>
    </row>
    <row r="283" customFormat="false" ht="15" hidden="false" customHeight="false" outlineLevel="0" collapsed="false">
      <c r="A283" s="37" t="str">
        <f aca="false">'Assumptions &amp; Data'!A417</f>
        <v>SM0213</v>
      </c>
      <c r="B283" s="37" t="str">
        <f aca="false">'Assumptions &amp; Data'!B417</f>
        <v>DS018</v>
      </c>
      <c r="C283" s="38" t="n">
        <f aca="false">'Assumptions &amp; Data'!C417</f>
        <v>46174</v>
      </c>
      <c r="D283" s="39" t="str">
        <f aca="false">INDEX('Assumptions &amp; Data'!$B$142:$B$201,MATCH(B283,'Assumptions &amp; Data'!$A$142:$A$201,0))</f>
        <v>Mumbai MMR</v>
      </c>
      <c r="E283" s="37" t="n">
        <f aca="false">'Assumptions &amp; Data'!D417</f>
        <v>26111</v>
      </c>
      <c r="F283" s="39" t="n">
        <f aca="false">E283*'Assumptions &amp; Data'!E417</f>
        <v>18149756.1</v>
      </c>
      <c r="G283" s="39" t="n">
        <f aca="false">F283*'Assumptions &amp; Data'!F417</f>
        <v>981901.80501</v>
      </c>
      <c r="H283" s="39" t="n">
        <f aca="false">F283-G283</f>
        <v>17167854.29499</v>
      </c>
      <c r="I283" s="39" t="n">
        <f aca="false">H283*'Assumptions &amp; Data'!G417</f>
        <v>2815528.10437836</v>
      </c>
      <c r="J283" s="39" t="n">
        <f aca="false">E283*'Assumptions &amp; Data'!H417</f>
        <v>320381.97</v>
      </c>
      <c r="K283" s="39" t="n">
        <f aca="false">H283*'Assumptions &amp; Data'!I417</f>
        <v>448080.997099239</v>
      </c>
      <c r="L283" s="39" t="n">
        <f aca="false">H283*'Assumptions &amp; Data'!J417</f>
        <v>379409.579919279</v>
      </c>
      <c r="M283" s="39" t="n">
        <f aca="false">I283+J283+K283-L283</f>
        <v>3204581.49155832</v>
      </c>
      <c r="N283" s="39" t="n">
        <f aca="false">E283*'Assumptions &amp; Data'!N417</f>
        <v>1008145.71</v>
      </c>
      <c r="O283" s="39" t="n">
        <f aca="false">E283*'Assumptions &amp; Data'!O417</f>
        <v>280171.03</v>
      </c>
      <c r="P283" s="39" t="n">
        <f aca="false">H283*'Assumptions &amp; Data'!P417</f>
        <v>185412.826385892</v>
      </c>
      <c r="Q283" s="39" t="n">
        <f aca="false">M283-N283-O283-P283</f>
        <v>1730851.92517243</v>
      </c>
      <c r="R283" s="39" t="n">
        <f aca="false">'Assumptions &amp; Data'!L417*'Assumptions &amp; Data'!M417</f>
        <v>486507</v>
      </c>
      <c r="S283" s="37" t="n">
        <f aca="false">'Assumptions &amp; Data'!Q417</f>
        <v>660000</v>
      </c>
      <c r="T283" s="37" t="n">
        <f aca="false">'Assumptions &amp; Data'!R417</f>
        <v>136909</v>
      </c>
      <c r="U283" s="37" t="n">
        <f aca="false">'Assumptions &amp; Data'!S417</f>
        <v>112626</v>
      </c>
      <c r="V283" s="39" t="n">
        <f aca="false">Q283-R283-S283-T283-U283</f>
        <v>334809.925172429</v>
      </c>
      <c r="W283" s="39" t="n">
        <f aca="false">DAY(EOMONTH(C283,0))</f>
        <v>30</v>
      </c>
      <c r="X283" s="40" t="n">
        <f aca="false">E283/W283</f>
        <v>870.366666666667</v>
      </c>
      <c r="Y283" s="39" t="n">
        <f aca="false">R283+S283+T283+U283</f>
        <v>1396042</v>
      </c>
    </row>
    <row r="284" customFormat="false" ht="15" hidden="false" customHeight="false" outlineLevel="0" collapsed="false">
      <c r="A284" s="37" t="str">
        <f aca="false">'Assumptions &amp; Data'!A418</f>
        <v>SM0214</v>
      </c>
      <c r="B284" s="37" t="str">
        <f aca="false">'Assumptions &amp; Data'!B418</f>
        <v>DS018</v>
      </c>
      <c r="C284" s="38" t="n">
        <f aca="false">'Assumptions &amp; Data'!C418</f>
        <v>46204</v>
      </c>
      <c r="D284" s="39" t="str">
        <f aca="false">INDEX('Assumptions &amp; Data'!$B$142:$B$201,MATCH(B284,'Assumptions &amp; Data'!$A$142:$A$201,0))</f>
        <v>Mumbai MMR</v>
      </c>
      <c r="E284" s="37" t="n">
        <f aca="false">'Assumptions &amp; Data'!D418</f>
        <v>26035</v>
      </c>
      <c r="F284" s="39" t="n">
        <f aca="false">E284*'Assumptions &amp; Data'!E418</f>
        <v>18300001.5</v>
      </c>
      <c r="G284" s="39" t="n">
        <f aca="false">F284*'Assumptions &amp; Data'!F418</f>
        <v>969900.0795</v>
      </c>
      <c r="H284" s="39" t="n">
        <f aca="false">F284-G284</f>
        <v>17330101.4205</v>
      </c>
      <c r="I284" s="39" t="n">
        <f aca="false">H284*'Assumptions &amp; Data'!G418</f>
        <v>2861199.74452455</v>
      </c>
      <c r="J284" s="39" t="n">
        <f aca="false">E284*'Assumptions &amp; Data'!H418</f>
        <v>313721.75</v>
      </c>
      <c r="K284" s="39" t="n">
        <f aca="false">H284*'Assumptions &amp; Data'!I418</f>
        <v>493907.89048425</v>
      </c>
      <c r="L284" s="39" t="n">
        <f aca="false">H284*'Assumptions &amp; Data'!J418</f>
        <v>402058.3529556</v>
      </c>
      <c r="M284" s="39" t="n">
        <f aca="false">I284+J284+K284-L284</f>
        <v>3266771.0320532</v>
      </c>
      <c r="N284" s="39" t="n">
        <f aca="false">E284*'Assumptions &amp; Data'!N418</f>
        <v>1014844.3</v>
      </c>
      <c r="O284" s="39" t="n">
        <f aca="false">E284*'Assumptions &amp; Data'!O418</f>
        <v>283000.45</v>
      </c>
      <c r="P284" s="39" t="n">
        <f aca="false">H284*'Assumptions &amp; Data'!P418</f>
        <v>175034.02434705</v>
      </c>
      <c r="Q284" s="39" t="n">
        <f aca="false">M284-N284-O284-P284</f>
        <v>1793892.25770615</v>
      </c>
      <c r="R284" s="39" t="n">
        <f aca="false">'Assumptions &amp; Data'!L418*'Assumptions &amp; Data'!M418</f>
        <v>486948</v>
      </c>
      <c r="S284" s="37" t="n">
        <f aca="false">'Assumptions &amp; Data'!Q418</f>
        <v>660000</v>
      </c>
      <c r="T284" s="37" t="n">
        <f aca="false">'Assumptions &amp; Data'!R418</f>
        <v>135830</v>
      </c>
      <c r="U284" s="37" t="n">
        <f aca="false">'Assumptions &amp; Data'!S418</f>
        <v>138751</v>
      </c>
      <c r="V284" s="39" t="n">
        <f aca="false">Q284-R284-S284-T284-U284</f>
        <v>372363.25770615</v>
      </c>
      <c r="W284" s="39" t="n">
        <f aca="false">DAY(EOMONTH(C284,0))</f>
        <v>31</v>
      </c>
      <c r="X284" s="40" t="n">
        <f aca="false">E284/W284</f>
        <v>839.838709677419</v>
      </c>
      <c r="Y284" s="39" t="n">
        <f aca="false">R284+S284+T284+U284</f>
        <v>1421529</v>
      </c>
    </row>
    <row r="285" customFormat="false" ht="15" hidden="false" customHeight="false" outlineLevel="0" collapsed="false">
      <c r="A285" s="37" t="str">
        <f aca="false">'Assumptions &amp; Data'!A419</f>
        <v>SM0215</v>
      </c>
      <c r="B285" s="37" t="str">
        <f aca="false">'Assumptions &amp; Data'!B419</f>
        <v>DS018</v>
      </c>
      <c r="C285" s="38" t="n">
        <f aca="false">'Assumptions &amp; Data'!C419</f>
        <v>46235</v>
      </c>
      <c r="D285" s="39" t="str">
        <f aca="false">INDEX('Assumptions &amp; Data'!$B$142:$B$201,MATCH(B285,'Assumptions &amp; Data'!$A$142:$A$201,0))</f>
        <v>Mumbai MMR</v>
      </c>
      <c r="E285" s="37" t="n">
        <f aca="false">'Assumptions &amp; Data'!D419</f>
        <v>26213</v>
      </c>
      <c r="F285" s="39" t="n">
        <f aca="false">E285*'Assumptions &amp; Data'!E419</f>
        <v>18556182.7</v>
      </c>
      <c r="G285" s="39" t="n">
        <f aca="false">F285*'Assumptions &amp; Data'!F419</f>
        <v>922242.28019</v>
      </c>
      <c r="H285" s="39" t="n">
        <f aca="false">F285-G285</f>
        <v>17633940.41981</v>
      </c>
      <c r="I285" s="39" t="n">
        <f aca="false">H285*'Assumptions &amp; Data'!G419</f>
        <v>2920180.53352054</v>
      </c>
      <c r="J285" s="39" t="n">
        <f aca="false">E285*'Assumptions &amp; Data'!H419</f>
        <v>315080.26</v>
      </c>
      <c r="K285" s="39" t="n">
        <f aca="false">H285*'Assumptions &amp; Data'!I419</f>
        <v>458482.45091506</v>
      </c>
      <c r="L285" s="39" t="n">
        <f aca="false">H285*'Assumptions &amp; Data'!J419</f>
        <v>389710.083277801</v>
      </c>
      <c r="M285" s="39" t="n">
        <f aca="false">I285+J285+K285-L285</f>
        <v>3304033.1611578</v>
      </c>
      <c r="N285" s="39" t="n">
        <f aca="false">E285*'Assumptions &amp; Data'!N419</f>
        <v>1022831.26</v>
      </c>
      <c r="O285" s="39" t="n">
        <f aca="false">E285*'Assumptions &amp; Data'!O419</f>
        <v>287032.35</v>
      </c>
      <c r="P285" s="39" t="n">
        <f aca="false">H285*'Assumptions &amp; Data'!P419</f>
        <v>179866.192282062</v>
      </c>
      <c r="Q285" s="39" t="n">
        <f aca="false">M285-N285-O285-P285</f>
        <v>1814303.35887573</v>
      </c>
      <c r="R285" s="39" t="n">
        <f aca="false">'Assumptions &amp; Data'!L419*'Assumptions &amp; Data'!M419</f>
        <v>464180</v>
      </c>
      <c r="S285" s="37" t="n">
        <f aca="false">'Assumptions &amp; Data'!Q419</f>
        <v>660000</v>
      </c>
      <c r="T285" s="37" t="n">
        <f aca="false">'Assumptions &amp; Data'!R419</f>
        <v>145794</v>
      </c>
      <c r="U285" s="37" t="n">
        <f aca="false">'Assumptions &amp; Data'!S419</f>
        <v>117938</v>
      </c>
      <c r="V285" s="39" t="n">
        <f aca="false">Q285-R285-S285-T285-U285</f>
        <v>426391.358875733</v>
      </c>
      <c r="W285" s="39" t="n">
        <f aca="false">DAY(EOMONTH(C285,0))</f>
        <v>31</v>
      </c>
      <c r="X285" s="40" t="n">
        <f aca="false">E285/W285</f>
        <v>845.58064516129</v>
      </c>
      <c r="Y285" s="39" t="n">
        <f aca="false">R285+S285+T285+U285</f>
        <v>1387912</v>
      </c>
    </row>
    <row r="286" customFormat="false" ht="15" hidden="false" customHeight="false" outlineLevel="0" collapsed="false">
      <c r="A286" s="37" t="str">
        <f aca="false">'Assumptions &amp; Data'!A420</f>
        <v>SM0216</v>
      </c>
      <c r="B286" s="37" t="str">
        <f aca="false">'Assumptions &amp; Data'!B420</f>
        <v>DS018</v>
      </c>
      <c r="C286" s="38" t="n">
        <f aca="false">'Assumptions &amp; Data'!C420</f>
        <v>46266</v>
      </c>
      <c r="D286" s="39" t="str">
        <f aca="false">INDEX('Assumptions &amp; Data'!$B$142:$B$201,MATCH(B286,'Assumptions &amp; Data'!$A$142:$A$201,0))</f>
        <v>Mumbai MMR</v>
      </c>
      <c r="E286" s="37" t="n">
        <f aca="false">'Assumptions &amp; Data'!D420</f>
        <v>27552</v>
      </c>
      <c r="F286" s="39" t="n">
        <f aca="false">E286*'Assumptions &amp; Data'!E420</f>
        <v>19264358.4</v>
      </c>
      <c r="G286" s="39" t="n">
        <f aca="false">F286*'Assumptions &amp; Data'!F420</f>
        <v>980555.84256</v>
      </c>
      <c r="H286" s="39" t="n">
        <f aca="false">F286-G286</f>
        <v>18283802.55744</v>
      </c>
      <c r="I286" s="39" t="n">
        <f aca="false">H286*'Assumptions &amp; Data'!G420</f>
        <v>3020484.18248909</v>
      </c>
      <c r="J286" s="39" t="n">
        <f aca="false">E286*'Assumptions &amp; Data'!H420</f>
        <v>343573.44</v>
      </c>
      <c r="K286" s="39" t="n">
        <f aca="false">H286*'Assumptions &amp; Data'!I420</f>
        <v>490005.908539392</v>
      </c>
      <c r="L286" s="39" t="n">
        <f aca="false">H286*'Assumptions &amp; Data'!J420</f>
        <v>398586.895752192</v>
      </c>
      <c r="M286" s="39" t="n">
        <f aca="false">I286+J286+K286-L286</f>
        <v>3455476.63527629</v>
      </c>
      <c r="N286" s="39" t="n">
        <f aca="false">E286*'Assumptions &amp; Data'!N420</f>
        <v>1040088</v>
      </c>
      <c r="O286" s="39" t="n">
        <f aca="false">E286*'Assumptions &amp; Data'!O420</f>
        <v>294806.4</v>
      </c>
      <c r="P286" s="39" t="n">
        <f aca="false">H286*'Assumptions &amp; Data'!P420</f>
        <v>175524.504551424</v>
      </c>
      <c r="Q286" s="39" t="n">
        <f aca="false">M286-N286-O286-P286</f>
        <v>1945057.73072486</v>
      </c>
      <c r="R286" s="39" t="n">
        <f aca="false">'Assumptions &amp; Data'!L420*'Assumptions &amp; Data'!M420</f>
        <v>511060</v>
      </c>
      <c r="S286" s="37" t="n">
        <f aca="false">'Assumptions &amp; Data'!Q420</f>
        <v>660000</v>
      </c>
      <c r="T286" s="37" t="n">
        <f aca="false">'Assumptions &amp; Data'!R420</f>
        <v>133753</v>
      </c>
      <c r="U286" s="37" t="n">
        <f aca="false">'Assumptions &amp; Data'!S420</f>
        <v>131589</v>
      </c>
      <c r="V286" s="39" t="n">
        <f aca="false">Q286-R286-S286-T286-U286</f>
        <v>508655.730724864</v>
      </c>
      <c r="W286" s="39" t="n">
        <f aca="false">DAY(EOMONTH(C286,0))</f>
        <v>30</v>
      </c>
      <c r="X286" s="40" t="n">
        <f aca="false">E286/W286</f>
        <v>918.4</v>
      </c>
      <c r="Y286" s="39" t="n">
        <f aca="false">R286+S286+T286+U286</f>
        <v>1436402</v>
      </c>
    </row>
    <row r="287" customFormat="false" ht="15" hidden="false" customHeight="false" outlineLevel="0" collapsed="false">
      <c r="A287" s="37" t="str">
        <f aca="false">'Assumptions &amp; Data'!A421</f>
        <v>SM0217</v>
      </c>
      <c r="B287" s="37" t="str">
        <f aca="false">'Assumptions &amp; Data'!B421</f>
        <v>DS019</v>
      </c>
      <c r="C287" s="38" t="n">
        <f aca="false">'Assumptions &amp; Data'!C421</f>
        <v>45931</v>
      </c>
      <c r="D287" s="39" t="str">
        <f aca="false">INDEX('Assumptions &amp; Data'!$B$142:$B$201,MATCH(B287,'Assumptions &amp; Data'!$A$142:$A$201,0))</f>
        <v>Mumbai MMR</v>
      </c>
      <c r="E287" s="37" t="n">
        <f aca="false">'Assumptions &amp; Data'!D421</f>
        <v>23028</v>
      </c>
      <c r="F287" s="39" t="n">
        <f aca="false">E287*'Assumptions &amp; Data'!E421</f>
        <v>16333760.4</v>
      </c>
      <c r="G287" s="39" t="n">
        <f aca="false">F287*'Assumptions &amp; Data'!F421</f>
        <v>1055160.92184</v>
      </c>
      <c r="H287" s="39" t="n">
        <f aca="false">F287-G287</f>
        <v>15278599.47816</v>
      </c>
      <c r="I287" s="39" t="n">
        <f aca="false">H287*'Assumptions &amp; Data'!G421</f>
        <v>2563748.99243525</v>
      </c>
      <c r="J287" s="39" t="n">
        <f aca="false">E287*'Assumptions &amp; Data'!H421</f>
        <v>301436.52</v>
      </c>
      <c r="K287" s="39" t="n">
        <f aca="false">H287*'Assumptions &amp; Data'!I421</f>
        <v>389604.28669308</v>
      </c>
      <c r="L287" s="39" t="n">
        <f aca="false">H287*'Assumptions &amp; Data'!J421</f>
        <v>365158.527528024</v>
      </c>
      <c r="M287" s="39" t="n">
        <f aca="false">I287+J287+K287-L287</f>
        <v>2889631.2716003</v>
      </c>
      <c r="N287" s="39" t="n">
        <f aca="false">E287*'Assumptions &amp; Data'!N421</f>
        <v>1049846.52</v>
      </c>
      <c r="O287" s="39" t="n">
        <f aca="false">E287*'Assumptions &amp; Data'!O421</f>
        <v>247551</v>
      </c>
      <c r="P287" s="39" t="n">
        <f aca="false">H287*'Assumptions &amp; Data'!P421</f>
        <v>154313.854729416</v>
      </c>
      <c r="Q287" s="39" t="n">
        <f aca="false">M287-N287-O287-P287</f>
        <v>1437919.89687089</v>
      </c>
      <c r="R287" s="39" t="n">
        <f aca="false">'Assumptions &amp; Data'!L421*'Assumptions &amp; Data'!M421</f>
        <v>460000</v>
      </c>
      <c r="S287" s="37" t="n">
        <f aca="false">'Assumptions &amp; Data'!Q421</f>
        <v>1336500</v>
      </c>
      <c r="T287" s="37" t="n">
        <f aca="false">'Assumptions &amp; Data'!R421</f>
        <v>196989</v>
      </c>
      <c r="U287" s="37" t="n">
        <f aca="false">'Assumptions &amp; Data'!S421</f>
        <v>158662</v>
      </c>
      <c r="V287" s="39" t="n">
        <f aca="false">Q287-R287-S287-T287-U287</f>
        <v>-714231.103129112</v>
      </c>
      <c r="W287" s="39" t="n">
        <f aca="false">DAY(EOMONTH(C287,0))</f>
        <v>31</v>
      </c>
      <c r="X287" s="40" t="n">
        <f aca="false">E287/W287</f>
        <v>742.838709677419</v>
      </c>
      <c r="Y287" s="39" t="n">
        <f aca="false">R287+S287+T287+U287</f>
        <v>2152151</v>
      </c>
    </row>
    <row r="288" customFormat="false" ht="15" hidden="false" customHeight="false" outlineLevel="0" collapsed="false">
      <c r="A288" s="37" t="str">
        <f aca="false">'Assumptions &amp; Data'!A422</f>
        <v>SM0218</v>
      </c>
      <c r="B288" s="37" t="str">
        <f aca="false">'Assumptions &amp; Data'!B422</f>
        <v>DS019</v>
      </c>
      <c r="C288" s="38" t="n">
        <f aca="false">'Assumptions &amp; Data'!C422</f>
        <v>45962</v>
      </c>
      <c r="D288" s="39" t="str">
        <f aca="false">INDEX('Assumptions &amp; Data'!$B$142:$B$201,MATCH(B288,'Assumptions &amp; Data'!$A$142:$A$201,0))</f>
        <v>Mumbai MMR</v>
      </c>
      <c r="E288" s="37" t="n">
        <f aca="false">'Assumptions &amp; Data'!D422</f>
        <v>22833</v>
      </c>
      <c r="F288" s="39" t="n">
        <f aca="false">E288*'Assumptions &amp; Data'!E422</f>
        <v>16063015.5</v>
      </c>
      <c r="G288" s="39" t="n">
        <f aca="false">F288*'Assumptions &amp; Data'!F422</f>
        <v>1074615.73695</v>
      </c>
      <c r="H288" s="39" t="n">
        <f aca="false">F288-G288</f>
        <v>14988399.76305</v>
      </c>
      <c r="I288" s="39" t="n">
        <f aca="false">H288*'Assumptions &amp; Data'!G422</f>
        <v>2557020.99957633</v>
      </c>
      <c r="J288" s="39" t="n">
        <f aca="false">E288*'Assumptions &amp; Data'!H422</f>
        <v>309158.82</v>
      </c>
      <c r="K288" s="39" t="n">
        <f aca="false">H288*'Assumptions &amp; Data'!I422</f>
        <v>391197.233815605</v>
      </c>
      <c r="L288" s="39" t="n">
        <f aca="false">H288*'Assumptions &amp; Data'!J422</f>
        <v>358222.754336895</v>
      </c>
      <c r="M288" s="39" t="n">
        <f aca="false">I288+J288+K288-L288</f>
        <v>2899154.29905504</v>
      </c>
      <c r="N288" s="39" t="n">
        <f aca="false">E288*'Assumptions &amp; Data'!N422</f>
        <v>1049176.35</v>
      </c>
      <c r="O288" s="39" t="n">
        <f aca="false">E288*'Assumptions &amp; Data'!O422</f>
        <v>254359.62</v>
      </c>
      <c r="P288" s="39" t="n">
        <f aca="false">H288*'Assumptions &amp; Data'!P422</f>
        <v>145387.477701585</v>
      </c>
      <c r="Q288" s="39" t="n">
        <f aca="false">M288-N288-O288-P288</f>
        <v>1450230.85135345</v>
      </c>
      <c r="R288" s="39" t="n">
        <f aca="false">'Assumptions &amp; Data'!L422*'Assumptions &amp; Data'!M422</f>
        <v>460420</v>
      </c>
      <c r="S288" s="37" t="n">
        <f aca="false">'Assumptions &amp; Data'!Q422</f>
        <v>1336500</v>
      </c>
      <c r="T288" s="37" t="n">
        <f aca="false">'Assumptions &amp; Data'!R422</f>
        <v>206162</v>
      </c>
      <c r="U288" s="37" t="n">
        <f aca="false">'Assumptions &amp; Data'!S422</f>
        <v>145460</v>
      </c>
      <c r="V288" s="39" t="n">
        <f aca="false">Q288-R288-S288-T288-U288</f>
        <v>-698311.148646546</v>
      </c>
      <c r="W288" s="39" t="n">
        <f aca="false">DAY(EOMONTH(C288,0))</f>
        <v>30</v>
      </c>
      <c r="X288" s="40" t="n">
        <f aca="false">E288/W288</f>
        <v>761.1</v>
      </c>
      <c r="Y288" s="39" t="n">
        <f aca="false">R288+S288+T288+U288</f>
        <v>2148542</v>
      </c>
    </row>
    <row r="289" customFormat="false" ht="15" hidden="false" customHeight="false" outlineLevel="0" collapsed="false">
      <c r="A289" s="37" t="str">
        <f aca="false">'Assumptions &amp; Data'!A423</f>
        <v>SM0219</v>
      </c>
      <c r="B289" s="37" t="str">
        <f aca="false">'Assumptions &amp; Data'!B423</f>
        <v>DS019</v>
      </c>
      <c r="C289" s="38" t="n">
        <f aca="false">'Assumptions &amp; Data'!C423</f>
        <v>45992</v>
      </c>
      <c r="D289" s="39" t="str">
        <f aca="false">INDEX('Assumptions &amp; Data'!$B$142:$B$201,MATCH(B289,'Assumptions &amp; Data'!$A$142:$A$201,0))</f>
        <v>Mumbai MMR</v>
      </c>
      <c r="E289" s="37" t="n">
        <f aca="false">'Assumptions &amp; Data'!D423</f>
        <v>23730</v>
      </c>
      <c r="F289" s="39" t="n">
        <f aca="false">E289*'Assumptions &amp; Data'!E423</f>
        <v>17612406</v>
      </c>
      <c r="G289" s="39" t="n">
        <f aca="false">F289*'Assumptions &amp; Data'!F423</f>
        <v>1180031.202</v>
      </c>
      <c r="H289" s="39" t="n">
        <f aca="false">F289-G289</f>
        <v>16432374.798</v>
      </c>
      <c r="I289" s="39" t="n">
        <f aca="false">H289*'Assumptions &amp; Data'!G423</f>
        <v>2773784.8659024</v>
      </c>
      <c r="J289" s="39" t="n">
        <f aca="false">E289*'Assumptions &amp; Data'!H423</f>
        <v>328423.2</v>
      </c>
      <c r="K289" s="39" t="n">
        <f aca="false">H289*'Assumptions &amp; Data'!I423</f>
        <v>430528.2197076</v>
      </c>
      <c r="L289" s="39" t="n">
        <f aca="false">H289*'Assumptions &amp; Data'!J423</f>
        <v>358225.7705964</v>
      </c>
      <c r="M289" s="39" t="n">
        <f aca="false">I289+J289+K289-L289</f>
        <v>3174510.5150136</v>
      </c>
      <c r="N289" s="39" t="n">
        <f aca="false">E289*'Assumptions &amp; Data'!N423</f>
        <v>1083511.8</v>
      </c>
      <c r="O289" s="39" t="n">
        <f aca="false">E289*'Assumptions &amp; Data'!O423</f>
        <v>256521.3</v>
      </c>
      <c r="P289" s="39" t="n">
        <f aca="false">H289*'Assumptions &amp; Data'!P423</f>
        <v>169253.4604194</v>
      </c>
      <c r="Q289" s="39" t="n">
        <f aca="false">M289-N289-O289-P289</f>
        <v>1665223.9545942</v>
      </c>
      <c r="R289" s="39" t="n">
        <f aca="false">'Assumptions &amp; Data'!L423*'Assumptions &amp; Data'!M423</f>
        <v>483882</v>
      </c>
      <c r="S289" s="37" t="n">
        <f aca="false">'Assumptions &amp; Data'!Q423</f>
        <v>1336500</v>
      </c>
      <c r="T289" s="37" t="n">
        <f aca="false">'Assumptions &amp; Data'!R423</f>
        <v>198700</v>
      </c>
      <c r="U289" s="37" t="n">
        <f aca="false">'Assumptions &amp; Data'!S423</f>
        <v>154238</v>
      </c>
      <c r="V289" s="39" t="n">
        <f aca="false">Q289-R289-S289-T289-U289</f>
        <v>-508096.0454058</v>
      </c>
      <c r="W289" s="39" t="n">
        <f aca="false">DAY(EOMONTH(C289,0))</f>
        <v>31</v>
      </c>
      <c r="X289" s="40" t="n">
        <f aca="false">E289/W289</f>
        <v>765.483870967742</v>
      </c>
      <c r="Y289" s="39" t="n">
        <f aca="false">R289+S289+T289+U289</f>
        <v>2173320</v>
      </c>
    </row>
    <row r="290" customFormat="false" ht="15" hidden="false" customHeight="false" outlineLevel="0" collapsed="false">
      <c r="A290" s="37" t="str">
        <f aca="false">'Assumptions &amp; Data'!A424</f>
        <v>SM0220</v>
      </c>
      <c r="B290" s="37" t="str">
        <f aca="false">'Assumptions &amp; Data'!B424</f>
        <v>DS019</v>
      </c>
      <c r="C290" s="38" t="n">
        <f aca="false">'Assumptions &amp; Data'!C424</f>
        <v>46023</v>
      </c>
      <c r="D290" s="39" t="str">
        <f aca="false">INDEX('Assumptions &amp; Data'!$B$142:$B$201,MATCH(B290,'Assumptions &amp; Data'!$A$142:$A$201,0))</f>
        <v>Mumbai MMR</v>
      </c>
      <c r="E290" s="37" t="n">
        <f aca="false">'Assumptions &amp; Data'!D424</f>
        <v>22708</v>
      </c>
      <c r="F290" s="39" t="n">
        <f aca="false">E290*'Assumptions &amp; Data'!E424</f>
        <v>16043202</v>
      </c>
      <c r="G290" s="39" t="n">
        <f aca="false">F290*'Assumptions &amp; Data'!F424</f>
        <v>1046016.7704</v>
      </c>
      <c r="H290" s="39" t="n">
        <f aca="false">F290-G290</f>
        <v>14997185.2296</v>
      </c>
      <c r="I290" s="39" t="n">
        <f aca="false">H290*'Assumptions &amp; Data'!G424</f>
        <v>2483533.87402176</v>
      </c>
      <c r="J290" s="39" t="n">
        <f aca="false">E290*'Assumptions &amp; Data'!H424</f>
        <v>302016.4</v>
      </c>
      <c r="K290" s="39" t="n">
        <f aca="false">H290*'Assumptions &amp; Data'!I424</f>
        <v>371930.19369408</v>
      </c>
      <c r="L290" s="39" t="n">
        <f aca="false">H290*'Assumptions &amp; Data'!J424</f>
        <v>353933.57141856</v>
      </c>
      <c r="M290" s="39" t="n">
        <f aca="false">I290+J290+K290-L290</f>
        <v>2803546.89629728</v>
      </c>
      <c r="N290" s="39" t="n">
        <f aca="false">E290*'Assumptions &amp; Data'!N424</f>
        <v>1041843.04</v>
      </c>
      <c r="O290" s="39" t="n">
        <f aca="false">E290*'Assumptions &amp; Data'!O424</f>
        <v>250469.24</v>
      </c>
      <c r="P290" s="39" t="n">
        <f aca="false">H290*'Assumptions &amp; Data'!P424</f>
        <v>145472.69672712</v>
      </c>
      <c r="Q290" s="39" t="n">
        <f aca="false">M290-N290-O290-P290</f>
        <v>1365761.91957016</v>
      </c>
      <c r="R290" s="39" t="n">
        <f aca="false">'Assumptions &amp; Data'!L424*'Assumptions &amp; Data'!M424</f>
        <v>438197</v>
      </c>
      <c r="S290" s="37" t="n">
        <f aca="false">'Assumptions &amp; Data'!Q424</f>
        <v>1336500</v>
      </c>
      <c r="T290" s="37" t="n">
        <f aca="false">'Assumptions &amp; Data'!R424</f>
        <v>186214</v>
      </c>
      <c r="U290" s="37" t="n">
        <f aca="false">'Assumptions &amp; Data'!S424</f>
        <v>134314</v>
      </c>
      <c r="V290" s="39" t="n">
        <f aca="false">Q290-R290-S290-T290-U290</f>
        <v>-729463.08042984</v>
      </c>
      <c r="W290" s="39" t="n">
        <f aca="false">DAY(EOMONTH(C290,0))</f>
        <v>31</v>
      </c>
      <c r="X290" s="40" t="n">
        <f aca="false">E290/W290</f>
        <v>732.516129032258</v>
      </c>
      <c r="Y290" s="39" t="n">
        <f aca="false">R290+S290+T290+U290</f>
        <v>2095225</v>
      </c>
    </row>
    <row r="291" customFormat="false" ht="15" hidden="false" customHeight="false" outlineLevel="0" collapsed="false">
      <c r="A291" s="37" t="str">
        <f aca="false">'Assumptions &amp; Data'!A425</f>
        <v>SM0221</v>
      </c>
      <c r="B291" s="37" t="str">
        <f aca="false">'Assumptions &amp; Data'!B425</f>
        <v>DS019</v>
      </c>
      <c r="C291" s="38" t="n">
        <f aca="false">'Assumptions &amp; Data'!C425</f>
        <v>46054</v>
      </c>
      <c r="D291" s="39" t="str">
        <f aca="false">INDEX('Assumptions &amp; Data'!$B$142:$B$201,MATCH(B291,'Assumptions &amp; Data'!$A$142:$A$201,0))</f>
        <v>Mumbai MMR</v>
      </c>
      <c r="E291" s="37" t="n">
        <f aca="false">'Assumptions &amp; Data'!D425</f>
        <v>21437</v>
      </c>
      <c r="F291" s="39" t="n">
        <f aca="false">E291*'Assumptions &amp; Data'!E425</f>
        <v>15492519.9</v>
      </c>
      <c r="G291" s="39" t="n">
        <f aca="false">F291*'Assumptions &amp; Data'!F425</f>
        <v>979127.25768</v>
      </c>
      <c r="H291" s="39" t="n">
        <f aca="false">F291-G291</f>
        <v>14513392.64232</v>
      </c>
      <c r="I291" s="39" t="n">
        <f aca="false">H291*'Assumptions &amp; Data'!G425</f>
        <v>2461471.39213747</v>
      </c>
      <c r="J291" s="39" t="n">
        <f aca="false">E291*'Assumptions &amp; Data'!H425</f>
        <v>278252.26</v>
      </c>
      <c r="K291" s="39" t="n">
        <f aca="false">H291*'Assumptions &amp; Data'!I425</f>
        <v>351224.101944144</v>
      </c>
      <c r="L291" s="39" t="n">
        <f aca="false">H291*'Assumptions &amp; Data'!J425</f>
        <v>323648.655923736</v>
      </c>
      <c r="M291" s="39" t="n">
        <f aca="false">I291+J291+K291-L291</f>
        <v>2767299.09815788</v>
      </c>
      <c r="N291" s="39" t="n">
        <f aca="false">E291*'Assumptions &amp; Data'!N425</f>
        <v>978170.31</v>
      </c>
      <c r="O291" s="39" t="n">
        <f aca="false">E291*'Assumptions &amp; Data'!O425</f>
        <v>235807</v>
      </c>
      <c r="P291" s="39" t="n">
        <f aca="false">H291*'Assumptions &amp; Data'!P425</f>
        <v>142231.247894736</v>
      </c>
      <c r="Q291" s="39" t="n">
        <f aca="false">M291-N291-O291-P291</f>
        <v>1411090.54026314</v>
      </c>
      <c r="R291" s="39" t="n">
        <f aca="false">'Assumptions &amp; Data'!L425*'Assumptions &amp; Data'!M425</f>
        <v>461680</v>
      </c>
      <c r="S291" s="37" t="n">
        <f aca="false">'Assumptions &amp; Data'!Q425</f>
        <v>1336500</v>
      </c>
      <c r="T291" s="37" t="n">
        <f aca="false">'Assumptions &amp; Data'!R425</f>
        <v>208311</v>
      </c>
      <c r="U291" s="37" t="n">
        <f aca="false">'Assumptions &amp; Data'!S425</f>
        <v>140662</v>
      </c>
      <c r="V291" s="39" t="n">
        <f aca="false">Q291-R291-S291-T291-U291</f>
        <v>-736062.459736856</v>
      </c>
      <c r="W291" s="39" t="n">
        <f aca="false">DAY(EOMONTH(C291,0))</f>
        <v>28</v>
      </c>
      <c r="X291" s="40" t="n">
        <f aca="false">E291/W291</f>
        <v>765.607142857143</v>
      </c>
      <c r="Y291" s="39" t="n">
        <f aca="false">R291+S291+T291+U291</f>
        <v>2147153</v>
      </c>
    </row>
    <row r="292" customFormat="false" ht="15" hidden="false" customHeight="false" outlineLevel="0" collapsed="false">
      <c r="A292" s="37" t="str">
        <f aca="false">'Assumptions &amp; Data'!A426</f>
        <v>SM0222</v>
      </c>
      <c r="B292" s="37" t="str">
        <f aca="false">'Assumptions &amp; Data'!B426</f>
        <v>DS019</v>
      </c>
      <c r="C292" s="38" t="n">
        <f aca="false">'Assumptions &amp; Data'!C426</f>
        <v>46082</v>
      </c>
      <c r="D292" s="39" t="str">
        <f aca="false">INDEX('Assumptions &amp; Data'!$B$142:$B$201,MATCH(B292,'Assumptions &amp; Data'!$A$142:$A$201,0))</f>
        <v>Mumbai MMR</v>
      </c>
      <c r="E292" s="37" t="n">
        <f aca="false">'Assumptions &amp; Data'!D426</f>
        <v>23833</v>
      </c>
      <c r="F292" s="39" t="n">
        <f aca="false">E292*'Assumptions &amp; Data'!E426</f>
        <v>17112094</v>
      </c>
      <c r="G292" s="39" t="n">
        <f aca="false">F292*'Assumptions &amp; Data'!F426</f>
        <v>1110574.9006</v>
      </c>
      <c r="H292" s="39" t="n">
        <f aca="false">F292-G292</f>
        <v>16001519.0994</v>
      </c>
      <c r="I292" s="39" t="n">
        <f aca="false">H292*'Assumptions &amp; Data'!G426</f>
        <v>2720258.246898</v>
      </c>
      <c r="J292" s="39" t="n">
        <f aca="false">E292*'Assumptions &amp; Data'!H426</f>
        <v>300772.46</v>
      </c>
      <c r="K292" s="39" t="n">
        <f aca="false">H292*'Assumptions &amp; Data'!I426</f>
        <v>377635.85074584</v>
      </c>
      <c r="L292" s="39" t="n">
        <f aca="false">H292*'Assumptions &amp; Data'!J426</f>
        <v>337632.05299734</v>
      </c>
      <c r="M292" s="39" t="n">
        <f aca="false">I292+J292+K292-L292</f>
        <v>3061034.5046465</v>
      </c>
      <c r="N292" s="39" t="n">
        <f aca="false">E292*'Assumptions &amp; Data'!N426</f>
        <v>1082256.53</v>
      </c>
      <c r="O292" s="39" t="n">
        <f aca="false">E292*'Assumptions &amp; Data'!O426</f>
        <v>266452.94</v>
      </c>
      <c r="P292" s="39" t="n">
        <f aca="false">H292*'Assumptions &amp; Data'!P426</f>
        <v>160015.190994</v>
      </c>
      <c r="Q292" s="39" t="n">
        <f aca="false">M292-N292-O292-P292</f>
        <v>1552309.8436525</v>
      </c>
      <c r="R292" s="39" t="n">
        <f aca="false">'Assumptions &amp; Data'!L426*'Assumptions &amp; Data'!M426</f>
        <v>485205</v>
      </c>
      <c r="S292" s="37" t="n">
        <f aca="false">'Assumptions &amp; Data'!Q426</f>
        <v>1336500</v>
      </c>
      <c r="T292" s="37" t="n">
        <f aca="false">'Assumptions &amp; Data'!R426</f>
        <v>206670</v>
      </c>
      <c r="U292" s="37" t="n">
        <f aca="false">'Assumptions &amp; Data'!S426</f>
        <v>136544</v>
      </c>
      <c r="V292" s="39" t="n">
        <f aca="false">Q292-R292-S292-T292-U292</f>
        <v>-612609.1563475</v>
      </c>
      <c r="W292" s="39" t="n">
        <f aca="false">DAY(EOMONTH(C292,0))</f>
        <v>31</v>
      </c>
      <c r="X292" s="40" t="n">
        <f aca="false">E292/W292</f>
        <v>768.806451612903</v>
      </c>
      <c r="Y292" s="39" t="n">
        <f aca="false">R292+S292+T292+U292</f>
        <v>2164919</v>
      </c>
    </row>
    <row r="293" customFormat="false" ht="15" hidden="false" customHeight="false" outlineLevel="0" collapsed="false">
      <c r="A293" s="37" t="str">
        <f aca="false">'Assumptions &amp; Data'!A427</f>
        <v>SM0223</v>
      </c>
      <c r="B293" s="37" t="str">
        <f aca="false">'Assumptions &amp; Data'!B427</f>
        <v>DS019</v>
      </c>
      <c r="C293" s="38" t="n">
        <f aca="false">'Assumptions &amp; Data'!C427</f>
        <v>46113</v>
      </c>
      <c r="D293" s="39" t="str">
        <f aca="false">INDEX('Assumptions &amp; Data'!$B$142:$B$201,MATCH(B293,'Assumptions &amp; Data'!$A$142:$A$201,0))</f>
        <v>Mumbai MMR</v>
      </c>
      <c r="E293" s="37" t="n">
        <f aca="false">'Assumptions &amp; Data'!D427</f>
        <v>25136</v>
      </c>
      <c r="F293" s="39" t="n">
        <f aca="false">E293*'Assumptions &amp; Data'!E427</f>
        <v>18238681.6</v>
      </c>
      <c r="G293" s="39" t="n">
        <f aca="false">F293*'Assumptions &amp; Data'!F427</f>
        <v>1161804.01792</v>
      </c>
      <c r="H293" s="39" t="n">
        <f aca="false">F293-G293</f>
        <v>17076877.58208</v>
      </c>
      <c r="I293" s="39" t="n">
        <f aca="false">H293*'Assumptions &amp; Data'!G427</f>
        <v>2819392.48880141</v>
      </c>
      <c r="J293" s="39" t="n">
        <f aca="false">E293*'Assumptions &amp; Data'!H427</f>
        <v>335816.96</v>
      </c>
      <c r="K293" s="39" t="n">
        <f aca="false">H293*'Assumptions &amp; Data'!I427</f>
        <v>454244.943683328</v>
      </c>
      <c r="L293" s="39" t="n">
        <f aca="false">H293*'Assumptions &amp; Data'!J427</f>
        <v>368860.555772928</v>
      </c>
      <c r="M293" s="39" t="n">
        <f aca="false">I293+J293+K293-L293</f>
        <v>3240593.83671181</v>
      </c>
      <c r="N293" s="39" t="n">
        <f aca="false">E293*'Assumptions &amp; Data'!N427</f>
        <v>1118049.28</v>
      </c>
      <c r="O293" s="39" t="n">
        <f aca="false">E293*'Assumptions &amp; Data'!O427</f>
        <v>271720.16</v>
      </c>
      <c r="P293" s="39" t="n">
        <f aca="false">H293*'Assumptions &amp; Data'!P427</f>
        <v>172476.463579008</v>
      </c>
      <c r="Q293" s="39" t="n">
        <f aca="false">M293-N293-O293-P293</f>
        <v>1678347.9331328</v>
      </c>
      <c r="R293" s="39" t="n">
        <f aca="false">'Assumptions &amp; Data'!L427*'Assumptions &amp; Data'!M427</f>
        <v>485625</v>
      </c>
      <c r="S293" s="37" t="n">
        <f aca="false">'Assumptions &amp; Data'!Q427</f>
        <v>1336500</v>
      </c>
      <c r="T293" s="37" t="n">
        <f aca="false">'Assumptions &amp; Data'!R427</f>
        <v>199672</v>
      </c>
      <c r="U293" s="37" t="n">
        <f aca="false">'Assumptions &amp; Data'!S427</f>
        <v>147666</v>
      </c>
      <c r="V293" s="39" t="n">
        <f aca="false">Q293-R293-S293-T293-U293</f>
        <v>-491115.0668672</v>
      </c>
      <c r="W293" s="39" t="n">
        <f aca="false">DAY(EOMONTH(C293,0))</f>
        <v>30</v>
      </c>
      <c r="X293" s="40" t="n">
        <f aca="false">E293/W293</f>
        <v>837.866666666667</v>
      </c>
      <c r="Y293" s="39" t="n">
        <f aca="false">R293+S293+T293+U293</f>
        <v>2169463</v>
      </c>
    </row>
    <row r="294" customFormat="false" ht="15" hidden="false" customHeight="false" outlineLevel="0" collapsed="false">
      <c r="A294" s="37" t="str">
        <f aca="false">'Assumptions &amp; Data'!A428</f>
        <v>SM0224</v>
      </c>
      <c r="B294" s="37" t="str">
        <f aca="false">'Assumptions &amp; Data'!B428</f>
        <v>DS019</v>
      </c>
      <c r="C294" s="38" t="n">
        <f aca="false">'Assumptions &amp; Data'!C428</f>
        <v>46143</v>
      </c>
      <c r="D294" s="39" t="str">
        <f aca="false">INDEX('Assumptions &amp; Data'!$B$142:$B$201,MATCH(B294,'Assumptions &amp; Data'!$A$142:$A$201,0))</f>
        <v>Mumbai MMR</v>
      </c>
      <c r="E294" s="37" t="n">
        <f aca="false">'Assumptions &amp; Data'!D428</f>
        <v>26640</v>
      </c>
      <c r="F294" s="39" t="n">
        <f aca="false">E294*'Assumptions &amp; Data'!E428</f>
        <v>19436544</v>
      </c>
      <c r="G294" s="39" t="n">
        <f aca="false">F294*'Assumptions &amp; Data'!F428</f>
        <v>1294473.8304</v>
      </c>
      <c r="H294" s="39" t="n">
        <f aca="false">F294-G294</f>
        <v>18142070.1696</v>
      </c>
      <c r="I294" s="39" t="n">
        <f aca="false">H294*'Assumptions &amp; Data'!G428</f>
        <v>3053310.40954368</v>
      </c>
      <c r="J294" s="39" t="n">
        <f aca="false">E294*'Assumptions &amp; Data'!H428</f>
        <v>354844.8</v>
      </c>
      <c r="K294" s="39" t="n">
        <f aca="false">H294*'Assumptions &amp; Data'!I428</f>
        <v>473508.03142656</v>
      </c>
      <c r="L294" s="39" t="n">
        <f aca="false">H294*'Assumptions &amp; Data'!J428</f>
        <v>377355.05952768</v>
      </c>
      <c r="M294" s="39" t="n">
        <f aca="false">I294+J294+K294-L294</f>
        <v>3504308.18144256</v>
      </c>
      <c r="N294" s="39" t="n">
        <f aca="false">E294*'Assumptions &amp; Data'!N428</f>
        <v>1180684.8</v>
      </c>
      <c r="O294" s="39" t="n">
        <f aca="false">E294*'Assumptions &amp; Data'!O428</f>
        <v>286646.4</v>
      </c>
      <c r="P294" s="39" t="n">
        <f aca="false">H294*'Assumptions &amp; Data'!P428</f>
        <v>181420.701696</v>
      </c>
      <c r="Q294" s="39" t="n">
        <f aca="false">M294-N294-O294-P294</f>
        <v>1855556.27974656</v>
      </c>
      <c r="R294" s="39" t="n">
        <f aca="false">'Assumptions &amp; Data'!L428*'Assumptions &amp; Data'!M428</f>
        <v>532358</v>
      </c>
      <c r="S294" s="37" t="n">
        <f aca="false">'Assumptions &amp; Data'!Q428</f>
        <v>1336500</v>
      </c>
      <c r="T294" s="37" t="n">
        <f aca="false">'Assumptions &amp; Data'!R428</f>
        <v>197395</v>
      </c>
      <c r="U294" s="37" t="n">
        <f aca="false">'Assumptions &amp; Data'!S428</f>
        <v>172136</v>
      </c>
      <c r="V294" s="39" t="n">
        <f aca="false">Q294-R294-S294-T294-U294</f>
        <v>-382832.72025344</v>
      </c>
      <c r="W294" s="39" t="n">
        <f aca="false">DAY(EOMONTH(C294,0))</f>
        <v>31</v>
      </c>
      <c r="X294" s="40" t="n">
        <f aca="false">E294/W294</f>
        <v>859.354838709677</v>
      </c>
      <c r="Y294" s="39" t="n">
        <f aca="false">R294+S294+T294+U294</f>
        <v>2238389</v>
      </c>
    </row>
    <row r="295" customFormat="false" ht="15" hidden="false" customHeight="false" outlineLevel="0" collapsed="false">
      <c r="A295" s="37" t="str">
        <f aca="false">'Assumptions &amp; Data'!A429</f>
        <v>SM0225</v>
      </c>
      <c r="B295" s="37" t="str">
        <f aca="false">'Assumptions &amp; Data'!B429</f>
        <v>DS019</v>
      </c>
      <c r="C295" s="38" t="n">
        <f aca="false">'Assumptions &amp; Data'!C429</f>
        <v>46174</v>
      </c>
      <c r="D295" s="39" t="str">
        <f aca="false">INDEX('Assumptions &amp; Data'!$B$142:$B$201,MATCH(B295,'Assumptions &amp; Data'!$A$142:$A$201,0))</f>
        <v>Mumbai MMR</v>
      </c>
      <c r="E295" s="37" t="n">
        <f aca="false">'Assumptions &amp; Data'!D429</f>
        <v>26306</v>
      </c>
      <c r="F295" s="39" t="n">
        <f aca="false">E295*'Assumptions &amp; Data'!E429</f>
        <v>18985040.2</v>
      </c>
      <c r="G295" s="39" t="n">
        <f aca="false">F295*'Assumptions &amp; Data'!F429</f>
        <v>1188463.51652</v>
      </c>
      <c r="H295" s="39" t="n">
        <f aca="false">F295-G295</f>
        <v>17796576.68348</v>
      </c>
      <c r="I295" s="39" t="n">
        <f aca="false">H295*'Assumptions &amp; Data'!G429</f>
        <v>3012960.43251316</v>
      </c>
      <c r="J295" s="39" t="n">
        <f aca="false">E295*'Assumptions &amp; Data'!H429</f>
        <v>348291.44</v>
      </c>
      <c r="K295" s="39" t="n">
        <f aca="false">H295*'Assumptions &amp; Data'!I429</f>
        <v>455592.363097088</v>
      </c>
      <c r="L295" s="39" t="n">
        <f aca="false">H295*'Assumptions &amp; Data'!J429</f>
        <v>361270.506674644</v>
      </c>
      <c r="M295" s="39" t="n">
        <f aca="false">I295+J295+K295-L295</f>
        <v>3455573.72893561</v>
      </c>
      <c r="N295" s="39" t="n">
        <f aca="false">E295*'Assumptions &amp; Data'!N429</f>
        <v>1154570.34</v>
      </c>
      <c r="O295" s="39" t="n">
        <f aca="false">E295*'Assumptions &amp; Data'!O429</f>
        <v>284893.98</v>
      </c>
      <c r="P295" s="39" t="n">
        <f aca="false">H295*'Assumptions &amp; Data'!P429</f>
        <v>174406.451498104</v>
      </c>
      <c r="Q295" s="39" t="n">
        <f aca="false">M295-N295-O295-P295</f>
        <v>1841702.9574375</v>
      </c>
      <c r="R295" s="39" t="n">
        <f aca="false">'Assumptions &amp; Data'!L429*'Assumptions &amp; Data'!M429</f>
        <v>556008</v>
      </c>
      <c r="S295" s="37" t="n">
        <f aca="false">'Assumptions &amp; Data'!Q429</f>
        <v>1336500</v>
      </c>
      <c r="T295" s="37" t="n">
        <f aca="false">'Assumptions &amp; Data'!R429</f>
        <v>207014</v>
      </c>
      <c r="U295" s="37" t="n">
        <f aca="false">'Assumptions &amp; Data'!S429</f>
        <v>167958</v>
      </c>
      <c r="V295" s="39" t="n">
        <f aca="false">Q295-R295-S295-T295-U295</f>
        <v>-425777.042562496</v>
      </c>
      <c r="W295" s="39" t="n">
        <f aca="false">DAY(EOMONTH(C295,0))</f>
        <v>30</v>
      </c>
      <c r="X295" s="40" t="n">
        <f aca="false">E295/W295</f>
        <v>876.866666666667</v>
      </c>
      <c r="Y295" s="39" t="n">
        <f aca="false">R295+S295+T295+U295</f>
        <v>2267480</v>
      </c>
    </row>
    <row r="296" customFormat="false" ht="15" hidden="false" customHeight="false" outlineLevel="0" collapsed="false">
      <c r="A296" s="37" t="str">
        <f aca="false">'Assumptions &amp; Data'!A430</f>
        <v>SM0226</v>
      </c>
      <c r="B296" s="37" t="str">
        <f aca="false">'Assumptions &amp; Data'!B430</f>
        <v>DS019</v>
      </c>
      <c r="C296" s="38" t="n">
        <f aca="false">'Assumptions &amp; Data'!C430</f>
        <v>46204</v>
      </c>
      <c r="D296" s="39" t="str">
        <f aca="false">INDEX('Assumptions &amp; Data'!$B$142:$B$201,MATCH(B296,'Assumptions &amp; Data'!$A$142:$A$201,0))</f>
        <v>Mumbai MMR</v>
      </c>
      <c r="E296" s="37" t="n">
        <f aca="false">'Assumptions &amp; Data'!D430</f>
        <v>25354</v>
      </c>
      <c r="F296" s="39" t="n">
        <f aca="false">E296*'Assumptions &amp; Data'!E430</f>
        <v>18029229.4</v>
      </c>
      <c r="G296" s="39" t="n">
        <f aca="false">F296*'Assumptions &amp; Data'!F430</f>
        <v>1099782.9934</v>
      </c>
      <c r="H296" s="39" t="n">
        <f aca="false">F296-G296</f>
        <v>16929446.4066</v>
      </c>
      <c r="I296" s="39" t="n">
        <f aca="false">H296*'Assumptions &amp; Data'!G430</f>
        <v>2861076.4427154</v>
      </c>
      <c r="J296" s="39" t="n">
        <f aca="false">E296*'Assumptions &amp; Data'!H430</f>
        <v>324784.74</v>
      </c>
      <c r="K296" s="39" t="n">
        <f aca="false">H296*'Assumptions &amp; Data'!I430</f>
        <v>397841.9905551</v>
      </c>
      <c r="L296" s="39" t="n">
        <f aca="false">H296*'Assumptions &amp; Data'!J430</f>
        <v>358904.26381992</v>
      </c>
      <c r="M296" s="39" t="n">
        <f aca="false">I296+J296+K296-L296</f>
        <v>3224798.90945058</v>
      </c>
      <c r="N296" s="39" t="n">
        <f aca="false">E296*'Assumptions &amp; Data'!N430</f>
        <v>1154621.16</v>
      </c>
      <c r="O296" s="39" t="n">
        <f aca="false">E296*'Assumptions &amp; Data'!O430</f>
        <v>282190.02</v>
      </c>
      <c r="P296" s="39" t="n">
        <f aca="false">H296*'Assumptions &amp; Data'!P430</f>
        <v>176066.24262864</v>
      </c>
      <c r="Q296" s="39" t="n">
        <f aca="false">M296-N296-O296-P296</f>
        <v>1611921.48682194</v>
      </c>
      <c r="R296" s="39" t="n">
        <f aca="false">'Assumptions &amp; Data'!L430*'Assumptions &amp; Data'!M430</f>
        <v>486948</v>
      </c>
      <c r="S296" s="37" t="n">
        <f aca="false">'Assumptions &amp; Data'!Q430</f>
        <v>1336500</v>
      </c>
      <c r="T296" s="37" t="n">
        <f aca="false">'Assumptions &amp; Data'!R430</f>
        <v>210436</v>
      </c>
      <c r="U296" s="37" t="n">
        <f aca="false">'Assumptions &amp; Data'!S430</f>
        <v>133634</v>
      </c>
      <c r="V296" s="39" t="n">
        <f aca="false">Q296-R296-S296-T296-U296</f>
        <v>-555596.51317806</v>
      </c>
      <c r="W296" s="39" t="n">
        <f aca="false">DAY(EOMONTH(C296,0))</f>
        <v>31</v>
      </c>
      <c r="X296" s="40" t="n">
        <f aca="false">E296/W296</f>
        <v>817.870967741936</v>
      </c>
      <c r="Y296" s="39" t="n">
        <f aca="false">R296+S296+T296+U296</f>
        <v>2167518</v>
      </c>
    </row>
    <row r="297" customFormat="false" ht="15" hidden="false" customHeight="false" outlineLevel="0" collapsed="false">
      <c r="A297" s="37" t="str">
        <f aca="false">'Assumptions &amp; Data'!A431</f>
        <v>SM0227</v>
      </c>
      <c r="B297" s="37" t="str">
        <f aca="false">'Assumptions &amp; Data'!B431</f>
        <v>DS019</v>
      </c>
      <c r="C297" s="38" t="n">
        <f aca="false">'Assumptions &amp; Data'!C431</f>
        <v>46235</v>
      </c>
      <c r="D297" s="39" t="str">
        <f aca="false">INDEX('Assumptions &amp; Data'!$B$142:$B$201,MATCH(B297,'Assumptions &amp; Data'!$A$142:$A$201,0))</f>
        <v>Mumbai MMR</v>
      </c>
      <c r="E297" s="37" t="n">
        <f aca="false">'Assumptions &amp; Data'!D431</f>
        <v>26855</v>
      </c>
      <c r="F297" s="39" t="n">
        <f aca="false">E297*'Assumptions &amp; Data'!E431</f>
        <v>19190583</v>
      </c>
      <c r="G297" s="39" t="n">
        <f aca="false">F297*'Assumptions &amp; Data'!F431</f>
        <v>1287688.1193</v>
      </c>
      <c r="H297" s="39" t="n">
        <f aca="false">F297-G297</f>
        <v>17902894.8807</v>
      </c>
      <c r="I297" s="39" t="n">
        <f aca="false">H297*'Assumptions &amp; Data'!G431</f>
        <v>3022008.65586216</v>
      </c>
      <c r="J297" s="39" t="n">
        <f aca="false">E297*'Assumptions &amp; Data'!H431</f>
        <v>339178.65</v>
      </c>
      <c r="K297" s="39" t="n">
        <f aca="false">H297*'Assumptions &amp; Data'!I431</f>
        <v>458314.10894592</v>
      </c>
      <c r="L297" s="39" t="n">
        <f aca="false">H297*'Assumptions &amp; Data'!J431</f>
        <v>363428.76607821</v>
      </c>
      <c r="M297" s="39" t="n">
        <f aca="false">I297+J297+K297-L297</f>
        <v>3456072.64872987</v>
      </c>
      <c r="N297" s="39" t="n">
        <f aca="false">E297*'Assumptions &amp; Data'!N431</f>
        <v>1199344.3</v>
      </c>
      <c r="O297" s="39" t="n">
        <f aca="false">E297*'Assumptions &amp; Data'!O431</f>
        <v>291645.3</v>
      </c>
      <c r="P297" s="39" t="n">
        <f aca="false">H297*'Assumptions &amp; Data'!P431</f>
        <v>180819.23829507</v>
      </c>
      <c r="Q297" s="39" t="n">
        <f aca="false">M297-N297-O297-P297</f>
        <v>1784263.8104348</v>
      </c>
      <c r="R297" s="39" t="n">
        <f aca="false">'Assumptions &amp; Data'!L431*'Assumptions &amp; Data'!M431</f>
        <v>533807</v>
      </c>
      <c r="S297" s="37" t="n">
        <f aca="false">'Assumptions &amp; Data'!Q431</f>
        <v>1336500</v>
      </c>
      <c r="T297" s="37" t="n">
        <f aca="false">'Assumptions &amp; Data'!R431</f>
        <v>190945</v>
      </c>
      <c r="U297" s="37" t="n">
        <f aca="false">'Assumptions &amp; Data'!S431</f>
        <v>157949</v>
      </c>
      <c r="V297" s="39" t="n">
        <f aca="false">Q297-R297-S297-T297-U297</f>
        <v>-434937.1895652</v>
      </c>
      <c r="W297" s="39" t="n">
        <f aca="false">DAY(EOMONTH(C297,0))</f>
        <v>31</v>
      </c>
      <c r="X297" s="40" t="n">
        <f aca="false">E297/W297</f>
        <v>866.290322580645</v>
      </c>
      <c r="Y297" s="39" t="n">
        <f aca="false">R297+S297+T297+U297</f>
        <v>2219201</v>
      </c>
    </row>
    <row r="298" customFormat="false" ht="15" hidden="false" customHeight="false" outlineLevel="0" collapsed="false">
      <c r="A298" s="37" t="str">
        <f aca="false">'Assumptions &amp; Data'!A432</f>
        <v>SM0228</v>
      </c>
      <c r="B298" s="37" t="str">
        <f aca="false">'Assumptions &amp; Data'!B432</f>
        <v>DS019</v>
      </c>
      <c r="C298" s="38" t="n">
        <f aca="false">'Assumptions &amp; Data'!C432</f>
        <v>46266</v>
      </c>
      <c r="D298" s="39" t="str">
        <f aca="false">INDEX('Assumptions &amp; Data'!$B$142:$B$201,MATCH(B298,'Assumptions &amp; Data'!$A$142:$A$201,0))</f>
        <v>Mumbai MMR</v>
      </c>
      <c r="E298" s="37" t="n">
        <f aca="false">'Assumptions &amp; Data'!D432</f>
        <v>25694</v>
      </c>
      <c r="F298" s="39" t="n">
        <f aca="false">E298*'Assumptions &amp; Data'!E432</f>
        <v>18574192.6</v>
      </c>
      <c r="G298" s="39" t="n">
        <f aca="false">F298*'Assumptions &amp; Data'!F432</f>
        <v>1212894.77678</v>
      </c>
      <c r="H298" s="39" t="n">
        <f aca="false">F298-G298</f>
        <v>17361297.82322</v>
      </c>
      <c r="I298" s="39" t="n">
        <f aca="false">H298*'Assumptions &amp; Data'!G432</f>
        <v>2880239.3088722</v>
      </c>
      <c r="J298" s="39" t="n">
        <f aca="false">E298*'Assumptions &amp; Data'!H432</f>
        <v>313209.86</v>
      </c>
      <c r="K298" s="39" t="n">
        <f aca="false">H298*'Assumptions &amp; Data'!I432</f>
        <v>468755.04122694</v>
      </c>
      <c r="L298" s="39" t="n">
        <f aca="false">H298*'Assumptions &amp; Data'!J432</f>
        <v>343753.696899756</v>
      </c>
      <c r="M298" s="39" t="n">
        <f aca="false">I298+J298+K298-L298</f>
        <v>3318450.51319938</v>
      </c>
      <c r="N298" s="39" t="n">
        <f aca="false">E298*'Assumptions &amp; Data'!N432</f>
        <v>1149292.62</v>
      </c>
      <c r="O298" s="39" t="n">
        <f aca="false">E298*'Assumptions &amp; Data'!O432</f>
        <v>283147.88</v>
      </c>
      <c r="P298" s="39" t="n">
        <f aca="false">H298*'Assumptions &amp; Data'!P432</f>
        <v>170140.718667556</v>
      </c>
      <c r="Q298" s="39" t="n">
        <f aca="false">M298-N298-O298-P298</f>
        <v>1715869.29453183</v>
      </c>
      <c r="R298" s="39" t="n">
        <f aca="false">'Assumptions &amp; Data'!L432*'Assumptions &amp; Data'!M432</f>
        <v>557520</v>
      </c>
      <c r="S298" s="37" t="n">
        <f aca="false">'Assumptions &amp; Data'!Q432</f>
        <v>1336500</v>
      </c>
      <c r="T298" s="37" t="n">
        <f aca="false">'Assumptions &amp; Data'!R432</f>
        <v>203985</v>
      </c>
      <c r="U298" s="37" t="n">
        <f aca="false">'Assumptions &amp; Data'!S432</f>
        <v>137587</v>
      </c>
      <c r="V298" s="39" t="n">
        <f aca="false">Q298-R298-S298-T298-U298</f>
        <v>-519722.705468175</v>
      </c>
      <c r="W298" s="39" t="n">
        <f aca="false">DAY(EOMONTH(C298,0))</f>
        <v>30</v>
      </c>
      <c r="X298" s="40" t="n">
        <f aca="false">E298/W298</f>
        <v>856.466666666667</v>
      </c>
      <c r="Y298" s="39" t="n">
        <f aca="false">R298+S298+T298+U298</f>
        <v>2235592</v>
      </c>
    </row>
    <row r="299" customFormat="false" ht="15" hidden="false" customHeight="false" outlineLevel="0" collapsed="false">
      <c r="A299" s="37" t="str">
        <f aca="false">'Assumptions &amp; Data'!A433</f>
        <v>SM0229</v>
      </c>
      <c r="B299" s="37" t="str">
        <f aca="false">'Assumptions &amp; Data'!B433</f>
        <v>DS020</v>
      </c>
      <c r="C299" s="38" t="n">
        <f aca="false">'Assumptions &amp; Data'!C433</f>
        <v>45931</v>
      </c>
      <c r="D299" s="39" t="str">
        <f aca="false">INDEX('Assumptions &amp; Data'!$B$142:$B$201,MATCH(B299,'Assumptions &amp; Data'!$A$142:$A$201,0))</f>
        <v>Mumbai MMR</v>
      </c>
      <c r="E299" s="37" t="n">
        <f aca="false">'Assumptions &amp; Data'!D433</f>
        <v>12823</v>
      </c>
      <c r="F299" s="39" t="n">
        <f aca="false">E299*'Assumptions &amp; Data'!E433</f>
        <v>8928654.9</v>
      </c>
      <c r="G299" s="39" t="n">
        <f aca="false">F299*'Assumptions &amp; Data'!F433</f>
        <v>839293.5606</v>
      </c>
      <c r="H299" s="39" t="n">
        <f aca="false">F299-G299</f>
        <v>8089361.3394</v>
      </c>
      <c r="I299" s="39" t="n">
        <f aca="false">H299*'Assumptions &amp; Data'!G433</f>
        <v>1358203.76888526</v>
      </c>
      <c r="J299" s="39" t="n">
        <f aca="false">E299*'Assumptions &amp; Data'!H433</f>
        <v>165032.01</v>
      </c>
      <c r="K299" s="39" t="n">
        <f aca="false">H299*'Assumptions &amp; Data'!I433</f>
        <v>158551.48225224</v>
      </c>
      <c r="L299" s="39" t="n">
        <f aca="false">H299*'Assumptions &amp; Data'!J433</f>
        <v>344606.79305844</v>
      </c>
      <c r="M299" s="39" t="n">
        <f aca="false">I299+J299+K299-L299</f>
        <v>1337180.46807906</v>
      </c>
      <c r="N299" s="39" t="n">
        <f aca="false">E299*'Assumptions &amp; Data'!N433</f>
        <v>598192.95</v>
      </c>
      <c r="O299" s="39" t="n">
        <f aca="false">E299*'Assumptions &amp; Data'!O433</f>
        <v>141181.23</v>
      </c>
      <c r="P299" s="39" t="n">
        <f aca="false">H299*'Assumptions &amp; Data'!P433</f>
        <v>80893.613394</v>
      </c>
      <c r="Q299" s="39" t="n">
        <f aca="false">M299-N299-O299-P299</f>
        <v>516912.67468506</v>
      </c>
      <c r="R299" s="39" t="n">
        <f aca="false">'Assumptions &amp; Data'!L433*'Assumptions &amp; Data'!M433</f>
        <v>368000</v>
      </c>
      <c r="S299" s="37" t="n">
        <f aca="false">'Assumptions &amp; Data'!Q433</f>
        <v>955000</v>
      </c>
      <c r="T299" s="37" t="n">
        <f aca="false">'Assumptions &amp; Data'!R433</f>
        <v>184562</v>
      </c>
      <c r="U299" s="37" t="n">
        <f aca="false">'Assumptions &amp; Data'!S433</f>
        <v>143809</v>
      </c>
      <c r="V299" s="39" t="n">
        <f aca="false">Q299-R299-S299-T299-U299</f>
        <v>-1134458.32531494</v>
      </c>
      <c r="W299" s="39" t="n">
        <f aca="false">DAY(EOMONTH(C299,0))</f>
        <v>31</v>
      </c>
      <c r="X299" s="40" t="n">
        <f aca="false">E299/W299</f>
        <v>413.645161290323</v>
      </c>
      <c r="Y299" s="39" t="n">
        <f aca="false">R299+S299+T299+U299</f>
        <v>1651371</v>
      </c>
    </row>
    <row r="300" customFormat="false" ht="15" hidden="false" customHeight="false" outlineLevel="0" collapsed="false">
      <c r="A300" s="37" t="str">
        <f aca="false">'Assumptions &amp; Data'!A434</f>
        <v>SM0230</v>
      </c>
      <c r="B300" s="37" t="str">
        <f aca="false">'Assumptions &amp; Data'!B434</f>
        <v>DS020</v>
      </c>
      <c r="C300" s="38" t="n">
        <f aca="false">'Assumptions &amp; Data'!C434</f>
        <v>45962</v>
      </c>
      <c r="D300" s="39" t="str">
        <f aca="false">INDEX('Assumptions &amp; Data'!$B$142:$B$201,MATCH(B300,'Assumptions &amp; Data'!$A$142:$A$201,0))</f>
        <v>Mumbai MMR</v>
      </c>
      <c r="E300" s="37" t="n">
        <f aca="false">'Assumptions &amp; Data'!D434</f>
        <v>14608</v>
      </c>
      <c r="F300" s="39" t="n">
        <f aca="false">E300*'Assumptions &amp; Data'!E434</f>
        <v>10343924.8</v>
      </c>
      <c r="G300" s="39" t="n">
        <f aca="false">F300*'Assumptions &amp; Data'!F434</f>
        <v>933022.01696</v>
      </c>
      <c r="H300" s="39" t="n">
        <f aca="false">F300-G300</f>
        <v>9410902.78304</v>
      </c>
      <c r="I300" s="39" t="n">
        <f aca="false">H300*'Assumptions &amp; Data'!G434</f>
        <v>1622439.6397961</v>
      </c>
      <c r="J300" s="39" t="n">
        <f aca="false">E300*'Assumptions &amp; Data'!H434</f>
        <v>171351.84</v>
      </c>
      <c r="K300" s="39" t="n">
        <f aca="false">H300*'Assumptions &amp; Data'!I434</f>
        <v>214568.583453312</v>
      </c>
      <c r="L300" s="39" t="n">
        <f aca="false">H300*'Assumptions &amp; Data'!J434</f>
        <v>370789.569651776</v>
      </c>
      <c r="M300" s="39" t="n">
        <f aca="false">I300+J300+K300-L300</f>
        <v>1637570.49359763</v>
      </c>
      <c r="N300" s="39" t="n">
        <f aca="false">E300*'Assumptions &amp; Data'!N434</f>
        <v>669922.88</v>
      </c>
      <c r="O300" s="39" t="n">
        <f aca="false">E300*'Assumptions &amp; Data'!O434</f>
        <v>160395.84</v>
      </c>
      <c r="P300" s="39" t="n">
        <f aca="false">H300*'Assumptions &amp; Data'!P434</f>
        <v>95050.118108704</v>
      </c>
      <c r="Q300" s="39" t="n">
        <f aca="false">M300-N300-O300-P300</f>
        <v>712201.655488928</v>
      </c>
      <c r="R300" s="39" t="n">
        <f aca="false">'Assumptions &amp; Data'!L434*'Assumptions &amp; Data'!M434</f>
        <v>368336</v>
      </c>
      <c r="S300" s="37" t="n">
        <f aca="false">'Assumptions &amp; Data'!Q434</f>
        <v>955000</v>
      </c>
      <c r="T300" s="37" t="n">
        <f aca="false">'Assumptions &amp; Data'!R434</f>
        <v>194211</v>
      </c>
      <c r="U300" s="37" t="n">
        <f aca="false">'Assumptions &amp; Data'!S434</f>
        <v>157392</v>
      </c>
      <c r="V300" s="39" t="n">
        <f aca="false">Q300-R300-S300-T300-U300</f>
        <v>-962737.344511072</v>
      </c>
      <c r="W300" s="39" t="n">
        <f aca="false">DAY(EOMONTH(C300,0))</f>
        <v>30</v>
      </c>
      <c r="X300" s="40" t="n">
        <f aca="false">E300/W300</f>
        <v>486.933333333333</v>
      </c>
      <c r="Y300" s="39" t="n">
        <f aca="false">R300+S300+T300+U300</f>
        <v>1674939</v>
      </c>
    </row>
    <row r="301" customFormat="false" ht="15" hidden="false" customHeight="false" outlineLevel="0" collapsed="false">
      <c r="A301" s="37" t="str">
        <f aca="false">'Assumptions &amp; Data'!A435</f>
        <v>SM0231</v>
      </c>
      <c r="B301" s="37" t="str">
        <f aca="false">'Assumptions &amp; Data'!B435</f>
        <v>DS020</v>
      </c>
      <c r="C301" s="38" t="n">
        <f aca="false">'Assumptions &amp; Data'!C435</f>
        <v>45992</v>
      </c>
      <c r="D301" s="39" t="str">
        <f aca="false">INDEX('Assumptions &amp; Data'!$B$142:$B$201,MATCH(B301,'Assumptions &amp; Data'!$A$142:$A$201,0))</f>
        <v>Mumbai MMR</v>
      </c>
      <c r="E301" s="37" t="n">
        <f aca="false">'Assumptions &amp; Data'!D435</f>
        <v>14374</v>
      </c>
      <c r="F301" s="39" t="n">
        <f aca="false">E301*'Assumptions &amp; Data'!E435</f>
        <v>10219914</v>
      </c>
      <c r="G301" s="39" t="n">
        <f aca="false">F301*'Assumptions &amp; Data'!F435</f>
        <v>912638.3202</v>
      </c>
      <c r="H301" s="39" t="n">
        <f aca="false">F301-G301</f>
        <v>9307275.6798</v>
      </c>
      <c r="I301" s="39" t="n">
        <f aca="false">H301*'Assumptions &amp; Data'!G435</f>
        <v>1558968.6763665</v>
      </c>
      <c r="J301" s="39" t="n">
        <f aca="false">E301*'Assumptions &amp; Data'!H435</f>
        <v>170906.86</v>
      </c>
      <c r="K301" s="39" t="n">
        <f aca="false">H301*'Assumptions &amp; Data'!I435</f>
        <v>198244.97197974</v>
      </c>
      <c r="L301" s="39" t="n">
        <f aca="false">H301*'Assumptions &amp; Data'!J435</f>
        <v>370429.57205604</v>
      </c>
      <c r="M301" s="39" t="n">
        <f aca="false">I301+J301+K301-L301</f>
        <v>1557690.9362902</v>
      </c>
      <c r="N301" s="39" t="n">
        <f aca="false">E301*'Assumptions &amp; Data'!N435</f>
        <v>678165.32</v>
      </c>
      <c r="O301" s="39" t="n">
        <f aca="false">E301*'Assumptions &amp; Data'!O435</f>
        <v>155239.2</v>
      </c>
      <c r="P301" s="39" t="n">
        <f aca="false">H301*'Assumptions &amp; Data'!P435</f>
        <v>90280.57409406</v>
      </c>
      <c r="Q301" s="39" t="n">
        <f aca="false">M301-N301-O301-P301</f>
        <v>634005.84219614</v>
      </c>
      <c r="R301" s="39" t="n">
        <f aca="false">'Assumptions &amp; Data'!L435*'Assumptions &amp; Data'!M435</f>
        <v>368672</v>
      </c>
      <c r="S301" s="37" t="n">
        <f aca="false">'Assumptions &amp; Data'!Q435</f>
        <v>955000</v>
      </c>
      <c r="T301" s="37" t="n">
        <f aca="false">'Assumptions &amp; Data'!R435</f>
        <v>189035</v>
      </c>
      <c r="U301" s="37" t="n">
        <f aca="false">'Assumptions &amp; Data'!S435</f>
        <v>144534</v>
      </c>
      <c r="V301" s="39" t="n">
        <f aca="false">Q301-R301-S301-T301-U301</f>
        <v>-1023235.15780386</v>
      </c>
      <c r="W301" s="39" t="n">
        <f aca="false">DAY(EOMONTH(C301,0))</f>
        <v>31</v>
      </c>
      <c r="X301" s="40" t="n">
        <f aca="false">E301/W301</f>
        <v>463.677419354839</v>
      </c>
      <c r="Y301" s="39" t="n">
        <f aca="false">R301+S301+T301+U301</f>
        <v>1657241</v>
      </c>
    </row>
    <row r="302" customFormat="false" ht="15" hidden="false" customHeight="false" outlineLevel="0" collapsed="false">
      <c r="A302" s="37" t="str">
        <f aca="false">'Assumptions &amp; Data'!A436</f>
        <v>SM0232</v>
      </c>
      <c r="B302" s="37" t="str">
        <f aca="false">'Assumptions &amp; Data'!B436</f>
        <v>DS020</v>
      </c>
      <c r="C302" s="38" t="n">
        <f aca="false">'Assumptions &amp; Data'!C436</f>
        <v>46023</v>
      </c>
      <c r="D302" s="39" t="str">
        <f aca="false">INDEX('Assumptions &amp; Data'!$B$142:$B$201,MATCH(B302,'Assumptions &amp; Data'!$A$142:$A$201,0))</f>
        <v>Mumbai MMR</v>
      </c>
      <c r="E302" s="37" t="n">
        <f aca="false">'Assumptions &amp; Data'!D436</f>
        <v>14645</v>
      </c>
      <c r="F302" s="39" t="n">
        <f aca="false">E302*'Assumptions &amp; Data'!E436</f>
        <v>9973245</v>
      </c>
      <c r="G302" s="39" t="n">
        <f aca="false">F302*'Assumptions &amp; Data'!F436</f>
        <v>879640.209</v>
      </c>
      <c r="H302" s="39" t="n">
        <f aca="false">F302-G302</f>
        <v>9093604.791</v>
      </c>
      <c r="I302" s="39" t="n">
        <f aca="false">H302*'Assumptions &amp; Data'!G436</f>
        <v>1538637.9306372</v>
      </c>
      <c r="J302" s="39" t="n">
        <f aca="false">E302*'Assumptions &amp; Data'!H436</f>
        <v>186137.95</v>
      </c>
      <c r="K302" s="39" t="n">
        <f aca="false">H302*'Assumptions &amp; Data'!I436</f>
        <v>200059.305402</v>
      </c>
      <c r="L302" s="39" t="n">
        <f aca="false">H302*'Assumptions &amp; Data'!J436</f>
        <v>353741.2263699</v>
      </c>
      <c r="M302" s="39" t="n">
        <f aca="false">I302+J302+K302-L302</f>
        <v>1571093.9596693</v>
      </c>
      <c r="N302" s="39" t="n">
        <f aca="false">E302*'Assumptions &amp; Data'!N436</f>
        <v>689486.6</v>
      </c>
      <c r="O302" s="39" t="n">
        <f aca="false">E302*'Assumptions &amp; Data'!O436</f>
        <v>157580.2</v>
      </c>
      <c r="P302" s="39" t="n">
        <f aca="false">H302*'Assumptions &amp; Data'!P436</f>
        <v>90026.6874309</v>
      </c>
      <c r="Q302" s="39" t="n">
        <f aca="false">M302-N302-O302-P302</f>
        <v>634000.4722384</v>
      </c>
      <c r="R302" s="39" t="n">
        <f aca="false">'Assumptions &amp; Data'!L436*'Assumptions &amp; Data'!M436</f>
        <v>369008</v>
      </c>
      <c r="S302" s="37" t="n">
        <f aca="false">'Assumptions &amp; Data'!Q436</f>
        <v>955000</v>
      </c>
      <c r="T302" s="37" t="n">
        <f aca="false">'Assumptions &amp; Data'!R436</f>
        <v>194697</v>
      </c>
      <c r="U302" s="37" t="n">
        <f aca="false">'Assumptions &amp; Data'!S436</f>
        <v>135499</v>
      </c>
      <c r="V302" s="39" t="n">
        <f aca="false">Q302-R302-S302-T302-U302</f>
        <v>-1020203.5277616</v>
      </c>
      <c r="W302" s="39" t="n">
        <f aca="false">DAY(EOMONTH(C302,0))</f>
        <v>31</v>
      </c>
      <c r="X302" s="40" t="n">
        <f aca="false">E302/W302</f>
        <v>472.41935483871</v>
      </c>
      <c r="Y302" s="39" t="n">
        <f aca="false">R302+S302+T302+U302</f>
        <v>1654204</v>
      </c>
    </row>
    <row r="303" customFormat="false" ht="15" hidden="false" customHeight="false" outlineLevel="0" collapsed="false">
      <c r="A303" s="37" t="str">
        <f aca="false">'Assumptions &amp; Data'!A437</f>
        <v>SM0233</v>
      </c>
      <c r="B303" s="37" t="str">
        <f aca="false">'Assumptions &amp; Data'!B437</f>
        <v>DS020</v>
      </c>
      <c r="C303" s="38" t="n">
        <f aca="false">'Assumptions &amp; Data'!C437</f>
        <v>46054</v>
      </c>
      <c r="D303" s="39" t="str">
        <f aca="false">INDEX('Assumptions &amp; Data'!$B$142:$B$201,MATCH(B303,'Assumptions &amp; Data'!$A$142:$A$201,0))</f>
        <v>Mumbai MMR</v>
      </c>
      <c r="E303" s="37" t="n">
        <f aca="false">'Assumptions &amp; Data'!D437</f>
        <v>14146</v>
      </c>
      <c r="F303" s="39" t="n">
        <f aca="false">E303*'Assumptions &amp; Data'!E437</f>
        <v>9849859.8</v>
      </c>
      <c r="G303" s="39" t="n">
        <f aca="false">F303*'Assumptions &amp; Data'!F437</f>
        <v>889442.33994</v>
      </c>
      <c r="H303" s="39" t="n">
        <f aca="false">F303-G303</f>
        <v>8960417.46006</v>
      </c>
      <c r="I303" s="39" t="n">
        <f aca="false">H303*'Assumptions &amp; Data'!G437</f>
        <v>1525063.05170221</v>
      </c>
      <c r="J303" s="39" t="n">
        <f aca="false">E303*'Assumptions &amp; Data'!H437</f>
        <v>169044.7</v>
      </c>
      <c r="K303" s="39" t="n">
        <f aca="false">H303*'Assumptions &amp; Data'!I437</f>
        <v>192648.97539129</v>
      </c>
      <c r="L303" s="39" t="n">
        <f aca="false">H303*'Assumptions &amp; Data'!J437</f>
        <v>359312.740148406</v>
      </c>
      <c r="M303" s="39" t="n">
        <f aca="false">I303+J303+K303-L303</f>
        <v>1527443.9869451</v>
      </c>
      <c r="N303" s="39" t="n">
        <f aca="false">E303*'Assumptions &amp; Data'!N437</f>
        <v>652272.06</v>
      </c>
      <c r="O303" s="39" t="n">
        <f aca="false">E303*'Assumptions &amp; Data'!O437</f>
        <v>152776.8</v>
      </c>
      <c r="P303" s="39" t="n">
        <f aca="false">H303*'Assumptions &amp; Data'!P437</f>
        <v>90500.216346606</v>
      </c>
      <c r="Q303" s="39" t="n">
        <f aca="false">M303-N303-O303-P303</f>
        <v>631894.91059849</v>
      </c>
      <c r="R303" s="39" t="n">
        <f aca="false">'Assumptions &amp; Data'!L437*'Assumptions &amp; Data'!M437</f>
        <v>369344</v>
      </c>
      <c r="S303" s="37" t="n">
        <f aca="false">'Assumptions &amp; Data'!Q437</f>
        <v>955000</v>
      </c>
      <c r="T303" s="37" t="n">
        <f aca="false">'Assumptions &amp; Data'!R437</f>
        <v>191340</v>
      </c>
      <c r="U303" s="37" t="n">
        <f aca="false">'Assumptions &amp; Data'!S437</f>
        <v>121582</v>
      </c>
      <c r="V303" s="39" t="n">
        <f aca="false">Q303-R303-S303-T303-U303</f>
        <v>-1005371.08940151</v>
      </c>
      <c r="W303" s="39" t="n">
        <f aca="false">DAY(EOMONTH(C303,0))</f>
        <v>28</v>
      </c>
      <c r="X303" s="40" t="n">
        <f aca="false">E303/W303</f>
        <v>505.214285714286</v>
      </c>
      <c r="Y303" s="39" t="n">
        <f aca="false">R303+S303+T303+U303</f>
        <v>1637266</v>
      </c>
    </row>
    <row r="304" customFormat="false" ht="15" hidden="false" customHeight="false" outlineLevel="0" collapsed="false">
      <c r="A304" s="37" t="str">
        <f aca="false">'Assumptions &amp; Data'!A438</f>
        <v>SM0234</v>
      </c>
      <c r="B304" s="37" t="str">
        <f aca="false">'Assumptions &amp; Data'!B438</f>
        <v>DS020</v>
      </c>
      <c r="C304" s="38" t="n">
        <f aca="false">'Assumptions &amp; Data'!C438</f>
        <v>46082</v>
      </c>
      <c r="D304" s="39" t="str">
        <f aca="false">INDEX('Assumptions &amp; Data'!$B$142:$B$201,MATCH(B304,'Assumptions &amp; Data'!$A$142:$A$201,0))</f>
        <v>Mumbai MMR</v>
      </c>
      <c r="E304" s="37" t="n">
        <f aca="false">'Assumptions &amp; Data'!D438</f>
        <v>16699</v>
      </c>
      <c r="F304" s="39" t="n">
        <f aca="false">E304*'Assumptions &amp; Data'!E438</f>
        <v>11629183.6</v>
      </c>
      <c r="G304" s="39" t="n">
        <f aca="false">F304*'Assumptions &amp; Data'!F438</f>
        <v>1033834.42204</v>
      </c>
      <c r="H304" s="39" t="n">
        <f aca="false">F304-G304</f>
        <v>10595349.17796</v>
      </c>
      <c r="I304" s="39" t="n">
        <f aca="false">H304*'Assumptions &amp; Data'!G438</f>
        <v>1767304.24288373</v>
      </c>
      <c r="J304" s="39" t="n">
        <f aca="false">E304*'Assumptions &amp; Data'!H438</f>
        <v>205564.69</v>
      </c>
      <c r="K304" s="39" t="n">
        <f aca="false">H304*'Assumptions &amp; Data'!I438</f>
        <v>222502.33273716</v>
      </c>
      <c r="L304" s="39" t="n">
        <f aca="false">H304*'Assumptions &amp; Data'!J438</f>
        <v>411099.548104848</v>
      </c>
      <c r="M304" s="39" t="n">
        <f aca="false">I304+J304+K304-L304</f>
        <v>1784271.71751604</v>
      </c>
      <c r="N304" s="39" t="n">
        <f aca="false">E304*'Assumptions &amp; Data'!N438</f>
        <v>759136.54</v>
      </c>
      <c r="O304" s="39" t="n">
        <f aca="false">E304*'Assumptions &amp; Data'!O438</f>
        <v>175673.48</v>
      </c>
      <c r="P304" s="39" t="n">
        <f aca="false">H304*'Assumptions &amp; Data'!P438</f>
        <v>109132.096532988</v>
      </c>
      <c r="Q304" s="39" t="n">
        <f aca="false">M304-N304-O304-P304</f>
        <v>740329.600983052</v>
      </c>
      <c r="R304" s="39" t="n">
        <f aca="false">'Assumptions &amp; Data'!L438*'Assumptions &amp; Data'!M438</f>
        <v>369680</v>
      </c>
      <c r="S304" s="37" t="n">
        <f aca="false">'Assumptions &amp; Data'!Q438</f>
        <v>955000</v>
      </c>
      <c r="T304" s="37" t="n">
        <f aca="false">'Assumptions &amp; Data'!R438</f>
        <v>196865</v>
      </c>
      <c r="U304" s="37" t="n">
        <f aca="false">'Assumptions &amp; Data'!S438</f>
        <v>141968</v>
      </c>
      <c r="V304" s="39" t="n">
        <f aca="false">Q304-R304-S304-T304-U304</f>
        <v>-923183.399016948</v>
      </c>
      <c r="W304" s="39" t="n">
        <f aca="false">DAY(EOMONTH(C304,0))</f>
        <v>31</v>
      </c>
      <c r="X304" s="40" t="n">
        <f aca="false">E304/W304</f>
        <v>538.677419354839</v>
      </c>
      <c r="Y304" s="39" t="n">
        <f aca="false">R304+S304+T304+U304</f>
        <v>1663513</v>
      </c>
    </row>
    <row r="305" customFormat="false" ht="15" hidden="false" customHeight="false" outlineLevel="0" collapsed="false">
      <c r="A305" s="37" t="str">
        <f aca="false">'Assumptions &amp; Data'!A439</f>
        <v>SM0235</v>
      </c>
      <c r="B305" s="37" t="str">
        <f aca="false">'Assumptions &amp; Data'!B439</f>
        <v>DS020</v>
      </c>
      <c r="C305" s="38" t="n">
        <f aca="false">'Assumptions &amp; Data'!C439</f>
        <v>46113</v>
      </c>
      <c r="D305" s="39" t="str">
        <f aca="false">INDEX('Assumptions &amp; Data'!$B$142:$B$201,MATCH(B305,'Assumptions &amp; Data'!$A$142:$A$201,0))</f>
        <v>Mumbai MMR</v>
      </c>
      <c r="E305" s="37" t="n">
        <f aca="false">'Assumptions &amp; Data'!D439</f>
        <v>16483</v>
      </c>
      <c r="F305" s="39" t="n">
        <f aca="false">E305*'Assumptions &amp; Data'!E439</f>
        <v>11355138.7</v>
      </c>
      <c r="G305" s="39" t="n">
        <f aca="false">F305*'Assumptions &amp; Data'!F439</f>
        <v>950425.10919</v>
      </c>
      <c r="H305" s="39" t="n">
        <f aca="false">F305-G305</f>
        <v>10404713.59081</v>
      </c>
      <c r="I305" s="39" t="n">
        <f aca="false">H305*'Assumptions &amp; Data'!G439</f>
        <v>1744870.46917884</v>
      </c>
      <c r="J305" s="39" t="n">
        <f aca="false">E305*'Assumptions &amp; Data'!H439</f>
        <v>211806.55</v>
      </c>
      <c r="K305" s="39" t="n">
        <f aca="false">H305*'Assumptions &amp; Data'!I439</f>
        <v>228903.69899782</v>
      </c>
      <c r="L305" s="39" t="n">
        <f aca="false">H305*'Assumptions &amp; Data'!J439</f>
        <v>392257.702373537</v>
      </c>
      <c r="M305" s="39" t="n">
        <f aca="false">I305+J305+K305-L305</f>
        <v>1793323.01580312</v>
      </c>
      <c r="N305" s="39" t="n">
        <f aca="false">E305*'Assumptions &amp; Data'!N439</f>
        <v>749152.35</v>
      </c>
      <c r="O305" s="39" t="n">
        <f aca="false">E305*'Assumptions &amp; Data'!O439</f>
        <v>183785.45</v>
      </c>
      <c r="P305" s="39" t="n">
        <f aca="false">H305*'Assumptions &amp; Data'!P439</f>
        <v>104047.1359081</v>
      </c>
      <c r="Q305" s="39" t="n">
        <f aca="false">M305-N305-O305-P305</f>
        <v>756338.07989502</v>
      </c>
      <c r="R305" s="39" t="n">
        <f aca="false">'Assumptions &amp; Data'!L439*'Assumptions &amp; Data'!M439</f>
        <v>370000</v>
      </c>
      <c r="S305" s="37" t="n">
        <f aca="false">'Assumptions &amp; Data'!Q439</f>
        <v>955000</v>
      </c>
      <c r="T305" s="37" t="n">
        <f aca="false">'Assumptions &amp; Data'!R439</f>
        <v>196867</v>
      </c>
      <c r="U305" s="37" t="n">
        <f aca="false">'Assumptions &amp; Data'!S439</f>
        <v>135646</v>
      </c>
      <c r="V305" s="39" t="n">
        <f aca="false">Q305-R305-S305-T305-U305</f>
        <v>-901174.92010498</v>
      </c>
      <c r="W305" s="39" t="n">
        <f aca="false">DAY(EOMONTH(C305,0))</f>
        <v>30</v>
      </c>
      <c r="X305" s="40" t="n">
        <f aca="false">E305/W305</f>
        <v>549.433333333333</v>
      </c>
      <c r="Y305" s="39" t="n">
        <f aca="false">R305+S305+T305+U305</f>
        <v>1657513</v>
      </c>
    </row>
    <row r="306" customFormat="false" ht="15" hidden="false" customHeight="false" outlineLevel="0" collapsed="false">
      <c r="A306" s="37" t="str">
        <f aca="false">'Assumptions &amp; Data'!A440</f>
        <v>SM0236</v>
      </c>
      <c r="B306" s="37" t="str">
        <f aca="false">'Assumptions &amp; Data'!B440</f>
        <v>DS020</v>
      </c>
      <c r="C306" s="38" t="n">
        <f aca="false">'Assumptions &amp; Data'!C440</f>
        <v>46143</v>
      </c>
      <c r="D306" s="39" t="str">
        <f aca="false">INDEX('Assumptions &amp; Data'!$B$142:$B$201,MATCH(B306,'Assumptions &amp; Data'!$A$142:$A$201,0))</f>
        <v>Mumbai MMR</v>
      </c>
      <c r="E306" s="37" t="n">
        <f aca="false">'Assumptions &amp; Data'!D440</f>
        <v>19618</v>
      </c>
      <c r="F306" s="39" t="n">
        <f aca="false">E306*'Assumptions &amp; Data'!E440</f>
        <v>13799301.2</v>
      </c>
      <c r="G306" s="39" t="n">
        <f aca="false">F306*'Assumptions &amp; Data'!F440</f>
        <v>1214338.5056</v>
      </c>
      <c r="H306" s="39" t="n">
        <f aca="false">F306-G306</f>
        <v>12584962.6944</v>
      </c>
      <c r="I306" s="39" t="n">
        <f aca="false">H306*'Assumptions &amp; Data'!G440</f>
        <v>2129375.68789248</v>
      </c>
      <c r="J306" s="39" t="n">
        <f aca="false">E306*'Assumptions &amp; Data'!H440</f>
        <v>243655.56</v>
      </c>
      <c r="K306" s="39" t="n">
        <f aca="false">H306*'Assumptions &amp; Data'!I440</f>
        <v>297005.11958784</v>
      </c>
      <c r="L306" s="39" t="n">
        <f aca="false">H306*'Assumptions &amp; Data'!J440</f>
        <v>455575.64953728</v>
      </c>
      <c r="M306" s="39" t="n">
        <f aca="false">I306+J306+K306-L306</f>
        <v>2214460.71794304</v>
      </c>
      <c r="N306" s="39" t="n">
        <f aca="false">E306*'Assumptions &amp; Data'!N440</f>
        <v>870058.3</v>
      </c>
      <c r="O306" s="39" t="n">
        <f aca="false">E306*'Assumptions &amp; Data'!O440</f>
        <v>224822.28</v>
      </c>
      <c r="P306" s="39" t="n">
        <f aca="false">H306*'Assumptions &amp; Data'!P440</f>
        <v>129625.11575232</v>
      </c>
      <c r="Q306" s="39" t="n">
        <f aca="false">M306-N306-O306-P306</f>
        <v>989955.02219072</v>
      </c>
      <c r="R306" s="39" t="n">
        <f aca="false">'Assumptions &amp; Data'!L440*'Assumptions &amp; Data'!M440</f>
        <v>462920</v>
      </c>
      <c r="S306" s="37" t="n">
        <f aca="false">'Assumptions &amp; Data'!Q440</f>
        <v>955000</v>
      </c>
      <c r="T306" s="37" t="n">
        <f aca="false">'Assumptions &amp; Data'!R440</f>
        <v>178176</v>
      </c>
      <c r="U306" s="37" t="n">
        <f aca="false">'Assumptions &amp; Data'!S440</f>
        <v>132240</v>
      </c>
      <c r="V306" s="39" t="n">
        <f aca="false">Q306-R306-S306-T306-U306</f>
        <v>-738380.97780928</v>
      </c>
      <c r="W306" s="39" t="n">
        <f aca="false">DAY(EOMONTH(C306,0))</f>
        <v>31</v>
      </c>
      <c r="X306" s="40" t="n">
        <f aca="false">E306/W306</f>
        <v>632.838709677419</v>
      </c>
      <c r="Y306" s="39" t="n">
        <f aca="false">R306+S306+T306+U306</f>
        <v>1728336</v>
      </c>
    </row>
    <row r="307" customFormat="false" ht="15" hidden="false" customHeight="false" outlineLevel="0" collapsed="false">
      <c r="A307" s="37" t="str">
        <f aca="false">'Assumptions &amp; Data'!A441</f>
        <v>SM0237</v>
      </c>
      <c r="B307" s="37" t="str">
        <f aca="false">'Assumptions &amp; Data'!B441</f>
        <v>DS020</v>
      </c>
      <c r="C307" s="38" t="n">
        <f aca="false">'Assumptions &amp; Data'!C441</f>
        <v>46174</v>
      </c>
      <c r="D307" s="39" t="str">
        <f aca="false">INDEX('Assumptions &amp; Data'!$B$142:$B$201,MATCH(B307,'Assumptions &amp; Data'!$A$142:$A$201,0))</f>
        <v>Mumbai MMR</v>
      </c>
      <c r="E307" s="37" t="n">
        <f aca="false">'Assumptions &amp; Data'!D441</f>
        <v>19455</v>
      </c>
      <c r="F307" s="39" t="n">
        <f aca="false">E307*'Assumptions &amp; Data'!E441</f>
        <v>13848069</v>
      </c>
      <c r="G307" s="39" t="n">
        <f aca="false">F307*'Assumptions &amp; Data'!F441</f>
        <v>1199242.7754</v>
      </c>
      <c r="H307" s="39" t="n">
        <f aca="false">F307-G307</f>
        <v>12648826.2246</v>
      </c>
      <c r="I307" s="39" t="n">
        <f aca="false">H307*'Assumptions &amp; Data'!G441</f>
        <v>2103499.80115098</v>
      </c>
      <c r="J307" s="39" t="n">
        <f aca="false">E307*'Assumptions &amp; Data'!H441</f>
        <v>235405.5</v>
      </c>
      <c r="K307" s="39" t="n">
        <f aca="false">H307*'Assumptions &amp; Data'!I441</f>
        <v>290923.0031658</v>
      </c>
      <c r="L307" s="39" t="n">
        <f aca="false">H307*'Assumptions &amp; Data'!J441</f>
        <v>470536.33555512</v>
      </c>
      <c r="M307" s="39" t="n">
        <f aca="false">I307+J307+K307-L307</f>
        <v>2159291.96876166</v>
      </c>
      <c r="N307" s="39" t="n">
        <f aca="false">E307*'Assumptions &amp; Data'!N441</f>
        <v>861078.3</v>
      </c>
      <c r="O307" s="39" t="n">
        <f aca="false">E307*'Assumptions &amp; Data'!O441</f>
        <v>213032.25</v>
      </c>
      <c r="P307" s="39" t="n">
        <f aca="false">H307*'Assumptions &amp; Data'!P441</f>
        <v>126488.262246</v>
      </c>
      <c r="Q307" s="39" t="n">
        <f aca="false">M307-N307-O307-P307</f>
        <v>958693.15651566</v>
      </c>
      <c r="R307" s="39" t="n">
        <f aca="false">'Assumptions &amp; Data'!L441*'Assumptions &amp; Data'!M441</f>
        <v>463340</v>
      </c>
      <c r="S307" s="37" t="n">
        <f aca="false">'Assumptions &amp; Data'!Q441</f>
        <v>955000</v>
      </c>
      <c r="T307" s="37" t="n">
        <f aca="false">'Assumptions &amp; Data'!R441</f>
        <v>188433</v>
      </c>
      <c r="U307" s="37" t="n">
        <f aca="false">'Assumptions &amp; Data'!S441</f>
        <v>134801</v>
      </c>
      <c r="V307" s="39" t="n">
        <f aca="false">Q307-R307-S307-T307-U307</f>
        <v>-782880.84348434</v>
      </c>
      <c r="W307" s="39" t="n">
        <f aca="false">DAY(EOMONTH(C307,0))</f>
        <v>30</v>
      </c>
      <c r="X307" s="40" t="n">
        <f aca="false">E307/W307</f>
        <v>648.5</v>
      </c>
      <c r="Y307" s="39" t="n">
        <f aca="false">R307+S307+T307+U307</f>
        <v>1741574</v>
      </c>
    </row>
    <row r="308" customFormat="false" ht="15" hidden="false" customHeight="false" outlineLevel="0" collapsed="false">
      <c r="A308" s="37" t="str">
        <f aca="false">'Assumptions &amp; Data'!A442</f>
        <v>SM0238</v>
      </c>
      <c r="B308" s="37" t="str">
        <f aca="false">'Assumptions &amp; Data'!B442</f>
        <v>DS020</v>
      </c>
      <c r="C308" s="38" t="n">
        <f aca="false">'Assumptions &amp; Data'!C442</f>
        <v>46204</v>
      </c>
      <c r="D308" s="39" t="str">
        <f aca="false">INDEX('Assumptions &amp; Data'!$B$142:$B$201,MATCH(B308,'Assumptions &amp; Data'!$A$142:$A$201,0))</f>
        <v>Mumbai MMR</v>
      </c>
      <c r="E308" s="37" t="n">
        <f aca="false">'Assumptions &amp; Data'!D442</f>
        <v>21445</v>
      </c>
      <c r="F308" s="39" t="n">
        <f aca="false">E308*'Assumptions &amp; Data'!E442</f>
        <v>15056534.5</v>
      </c>
      <c r="G308" s="39" t="n">
        <f aca="false">F308*'Assumptions &amp; Data'!F442</f>
        <v>1266254.55145</v>
      </c>
      <c r="H308" s="39" t="n">
        <f aca="false">F308-G308</f>
        <v>13790279.94855</v>
      </c>
      <c r="I308" s="39" t="n">
        <f aca="false">H308*'Assumptions &amp; Data'!G442</f>
        <v>2290565.49945416</v>
      </c>
      <c r="J308" s="39" t="n">
        <f aca="false">E308*'Assumptions &amp; Data'!H442</f>
        <v>266775.8</v>
      </c>
      <c r="K308" s="39" t="n">
        <f aca="false">H308*'Assumptions &amp; Data'!I442</f>
        <v>335103.802749765</v>
      </c>
      <c r="L308" s="39" t="n">
        <f aca="false">H308*'Assumptions &amp; Data'!J442</f>
        <v>484038.826194105</v>
      </c>
      <c r="M308" s="39" t="n">
        <f aca="false">I308+J308+K308-L308</f>
        <v>2408406.27600982</v>
      </c>
      <c r="N308" s="39" t="n">
        <f aca="false">E308*'Assumptions &amp; Data'!N442</f>
        <v>921277.2</v>
      </c>
      <c r="O308" s="39" t="n">
        <f aca="false">E308*'Assumptions &amp; Data'!O442</f>
        <v>236109.45</v>
      </c>
      <c r="P308" s="39" t="n">
        <f aca="false">H308*'Assumptions &amp; Data'!P442</f>
        <v>132386.68750608</v>
      </c>
      <c r="Q308" s="39" t="n">
        <f aca="false">M308-N308-O308-P308</f>
        <v>1118632.93850373</v>
      </c>
      <c r="R308" s="39" t="n">
        <f aca="false">'Assumptions &amp; Data'!L442*'Assumptions &amp; Data'!M442</f>
        <v>486948</v>
      </c>
      <c r="S308" s="37" t="n">
        <f aca="false">'Assumptions &amp; Data'!Q442</f>
        <v>955000</v>
      </c>
      <c r="T308" s="37" t="n">
        <f aca="false">'Assumptions &amp; Data'!R442</f>
        <v>191458</v>
      </c>
      <c r="U308" s="37" t="n">
        <f aca="false">'Assumptions &amp; Data'!S442</f>
        <v>156660</v>
      </c>
      <c r="V308" s="39" t="n">
        <f aca="false">Q308-R308-S308-T308-U308</f>
        <v>-671433.061496265</v>
      </c>
      <c r="W308" s="39" t="n">
        <f aca="false">DAY(EOMONTH(C308,0))</f>
        <v>31</v>
      </c>
      <c r="X308" s="40" t="n">
        <f aca="false">E308/W308</f>
        <v>691.774193548387</v>
      </c>
      <c r="Y308" s="39" t="n">
        <f aca="false">R308+S308+T308+U308</f>
        <v>1790066</v>
      </c>
    </row>
    <row r="309" customFormat="false" ht="15" hidden="false" customHeight="false" outlineLevel="0" collapsed="false">
      <c r="A309" s="37" t="str">
        <f aca="false">'Assumptions &amp; Data'!A443</f>
        <v>SM0239</v>
      </c>
      <c r="B309" s="37" t="str">
        <f aca="false">'Assumptions &amp; Data'!B443</f>
        <v>DS020</v>
      </c>
      <c r="C309" s="38" t="n">
        <f aca="false">'Assumptions &amp; Data'!C443</f>
        <v>46235</v>
      </c>
      <c r="D309" s="39" t="str">
        <f aca="false">INDEX('Assumptions &amp; Data'!$B$142:$B$201,MATCH(B309,'Assumptions &amp; Data'!$A$142:$A$201,0))</f>
        <v>Mumbai MMR</v>
      </c>
      <c r="E309" s="37" t="n">
        <f aca="false">'Assumptions &amp; Data'!D443</f>
        <v>18452</v>
      </c>
      <c r="F309" s="39" t="n">
        <f aca="false">E309*'Assumptions &amp; Data'!E443</f>
        <v>12907174</v>
      </c>
      <c r="G309" s="39" t="n">
        <f aca="false">F309*'Assumptions &amp; Data'!F443</f>
        <v>1121633.4206</v>
      </c>
      <c r="H309" s="39" t="n">
        <f aca="false">F309-G309</f>
        <v>11785540.5794</v>
      </c>
      <c r="I309" s="39" t="n">
        <f aca="false">H309*'Assumptions &amp; Data'!G443</f>
        <v>1955221.18212246</v>
      </c>
      <c r="J309" s="39" t="n">
        <f aca="false">E309*'Assumptions &amp; Data'!H443</f>
        <v>216811</v>
      </c>
      <c r="K309" s="39" t="n">
        <f aca="false">H309*'Assumptions &amp; Data'!I443</f>
        <v>280495.86578972</v>
      </c>
      <c r="L309" s="39" t="n">
        <f aca="false">H309*'Assumptions &amp; Data'!J443</f>
        <v>453743.3123069</v>
      </c>
      <c r="M309" s="39" t="n">
        <f aca="false">I309+J309+K309-L309</f>
        <v>1998784.73560528</v>
      </c>
      <c r="N309" s="39" t="n">
        <f aca="false">E309*'Assumptions &amp; Data'!N443</f>
        <v>838827.92</v>
      </c>
      <c r="O309" s="39" t="n">
        <f aca="false">E309*'Assumptions &amp; Data'!O443</f>
        <v>203894.6</v>
      </c>
      <c r="P309" s="39" t="n">
        <f aca="false">H309*'Assumptions &amp; Data'!P443</f>
        <v>117855.405794</v>
      </c>
      <c r="Q309" s="39" t="n">
        <f aca="false">M309-N309-O309-P309</f>
        <v>838206.80981128</v>
      </c>
      <c r="R309" s="39" t="n">
        <f aca="false">'Assumptions &amp; Data'!L443*'Assumptions &amp; Data'!M443</f>
        <v>394553</v>
      </c>
      <c r="S309" s="37" t="n">
        <f aca="false">'Assumptions &amp; Data'!Q443</f>
        <v>955000</v>
      </c>
      <c r="T309" s="37" t="n">
        <f aca="false">'Assumptions &amp; Data'!R443</f>
        <v>191998</v>
      </c>
      <c r="U309" s="37" t="n">
        <f aca="false">'Assumptions &amp; Data'!S443</f>
        <v>123162</v>
      </c>
      <c r="V309" s="39" t="n">
        <f aca="false">Q309-R309-S309-T309-U309</f>
        <v>-826506.190188721</v>
      </c>
      <c r="W309" s="39" t="n">
        <f aca="false">DAY(EOMONTH(C309,0))</f>
        <v>31</v>
      </c>
      <c r="X309" s="40" t="n">
        <f aca="false">E309/W309</f>
        <v>595.225806451613</v>
      </c>
      <c r="Y309" s="39" t="n">
        <f aca="false">R309+S309+T309+U309</f>
        <v>1664713</v>
      </c>
    </row>
    <row r="310" customFormat="false" ht="15" hidden="false" customHeight="false" outlineLevel="0" collapsed="false">
      <c r="A310" s="37" t="str">
        <f aca="false">'Assumptions &amp; Data'!A444</f>
        <v>SM0240</v>
      </c>
      <c r="B310" s="37" t="str">
        <f aca="false">'Assumptions &amp; Data'!B444</f>
        <v>DS020</v>
      </c>
      <c r="C310" s="38" t="n">
        <f aca="false">'Assumptions &amp; Data'!C444</f>
        <v>46266</v>
      </c>
      <c r="D310" s="39" t="str">
        <f aca="false">INDEX('Assumptions &amp; Data'!$B$142:$B$201,MATCH(B310,'Assumptions &amp; Data'!$A$142:$A$201,0))</f>
        <v>Mumbai MMR</v>
      </c>
      <c r="E310" s="37" t="n">
        <f aca="false">'Assumptions &amp; Data'!D444</f>
        <v>19826</v>
      </c>
      <c r="F310" s="39" t="n">
        <f aca="false">E310*'Assumptions &amp; Data'!E444</f>
        <v>13955521.4</v>
      </c>
      <c r="G310" s="39" t="n">
        <f aca="false">F310*'Assumptions &amp; Data'!F444</f>
        <v>1176450.45402</v>
      </c>
      <c r="H310" s="39" t="n">
        <f aca="false">F310-G310</f>
        <v>12779070.94598</v>
      </c>
      <c r="I310" s="39" t="n">
        <f aca="false">H310*'Assumptions &amp; Data'!G444</f>
        <v>2174997.8750058</v>
      </c>
      <c r="J310" s="39" t="n">
        <f aca="false">E310*'Assumptions &amp; Data'!H444</f>
        <v>233748.54</v>
      </c>
      <c r="K310" s="39" t="n">
        <f aca="false">H310*'Assumptions &amp; Data'!I444</f>
        <v>318198.866554902</v>
      </c>
      <c r="L310" s="39" t="n">
        <f aca="false">H310*'Assumptions &amp; Data'!J444</f>
        <v>460046.55405528</v>
      </c>
      <c r="M310" s="39" t="n">
        <f aca="false">I310+J310+K310-L310</f>
        <v>2266898.72750542</v>
      </c>
      <c r="N310" s="39" t="n">
        <f aca="false">E310*'Assumptions &amp; Data'!N444</f>
        <v>867585.76</v>
      </c>
      <c r="O310" s="39" t="n">
        <f aca="false">E310*'Assumptions &amp; Data'!O444</f>
        <v>216301.66</v>
      </c>
      <c r="P310" s="39" t="n">
        <f aca="false">H310*'Assumptions &amp; Data'!P444</f>
        <v>130346.523648996</v>
      </c>
      <c r="Q310" s="39" t="n">
        <f aca="false">M310-N310-O310-P310</f>
        <v>1052664.78385642</v>
      </c>
      <c r="R310" s="39" t="n">
        <f aca="false">'Assumptions &amp; Data'!L444*'Assumptions &amp; Data'!M444</f>
        <v>487830</v>
      </c>
      <c r="S310" s="37" t="n">
        <f aca="false">'Assumptions &amp; Data'!Q444</f>
        <v>955000</v>
      </c>
      <c r="T310" s="37" t="n">
        <f aca="false">'Assumptions &amp; Data'!R444</f>
        <v>195375</v>
      </c>
      <c r="U310" s="37" t="n">
        <f aca="false">'Assumptions &amp; Data'!S444</f>
        <v>134376</v>
      </c>
      <c r="V310" s="39" t="n">
        <f aca="false">Q310-R310-S310-T310-U310</f>
        <v>-719916.216143578</v>
      </c>
      <c r="W310" s="39" t="n">
        <f aca="false">DAY(EOMONTH(C310,0))</f>
        <v>30</v>
      </c>
      <c r="X310" s="40" t="n">
        <f aca="false">E310/W310</f>
        <v>660.866666666667</v>
      </c>
      <c r="Y310" s="39" t="n">
        <f aca="false">R310+S310+T310+U310</f>
        <v>1772581</v>
      </c>
    </row>
    <row r="311" customFormat="false" ht="15" hidden="false" customHeight="false" outlineLevel="0" collapsed="false">
      <c r="A311" s="37" t="str">
        <f aca="false">'Assumptions &amp; Data'!A445</f>
        <v>SM0241</v>
      </c>
      <c r="B311" s="37" t="str">
        <f aca="false">'Assumptions &amp; Data'!B445</f>
        <v>DS021</v>
      </c>
      <c r="C311" s="38" t="n">
        <f aca="false">'Assumptions &amp; Data'!C445</f>
        <v>45931</v>
      </c>
      <c r="D311" s="39" t="str">
        <f aca="false">INDEX('Assumptions &amp; Data'!$B$142:$B$201,MATCH(B311,'Assumptions &amp; Data'!$A$142:$A$201,0))</f>
        <v>Mumbai MMR</v>
      </c>
      <c r="E311" s="37" t="n">
        <f aca="false">'Assumptions &amp; Data'!D445</f>
        <v>33814</v>
      </c>
      <c r="F311" s="39" t="n">
        <f aca="false">E311*'Assumptions &amp; Data'!E445</f>
        <v>24393419.6</v>
      </c>
      <c r="G311" s="39" t="n">
        <f aca="false">F311*'Assumptions &amp; Data'!F445</f>
        <v>1451408.4662</v>
      </c>
      <c r="H311" s="39" t="n">
        <f aca="false">F311-G311</f>
        <v>22942011.1338</v>
      </c>
      <c r="I311" s="39" t="n">
        <f aca="false">H311*'Assumptions &amp; Data'!G445</f>
        <v>3907024.49608614</v>
      </c>
      <c r="J311" s="39" t="n">
        <f aca="false">E311*'Assumptions &amp; Data'!H445</f>
        <v>431128.5</v>
      </c>
      <c r="K311" s="39" t="n">
        <f aca="false">H311*'Assumptions &amp; Data'!I445</f>
        <v>679083.52956048</v>
      </c>
      <c r="L311" s="39" t="n">
        <f aca="false">H311*'Assumptions &amp; Data'!J445</f>
        <v>601080.69170556</v>
      </c>
      <c r="M311" s="39" t="n">
        <f aca="false">I311+J311+K311-L311</f>
        <v>4416155.83394106</v>
      </c>
      <c r="N311" s="39" t="n">
        <f aca="false">E311*'Assumptions &amp; Data'!N445</f>
        <v>1480038.78</v>
      </c>
      <c r="O311" s="39" t="n">
        <f aca="false">E311*'Assumptions &amp; Data'!O445</f>
        <v>362824.22</v>
      </c>
      <c r="P311" s="39" t="n">
        <f aca="false">H311*'Assumptions &amp; Data'!P445</f>
        <v>227125.91022462</v>
      </c>
      <c r="Q311" s="39" t="n">
        <f aca="false">M311-N311-O311-P311</f>
        <v>2346166.92371644</v>
      </c>
      <c r="R311" s="39" t="n">
        <f aca="false">'Assumptions &amp; Data'!L445*'Assumptions &amp; Data'!M445</f>
        <v>575000</v>
      </c>
      <c r="S311" s="37" t="n">
        <f aca="false">'Assumptions &amp; Data'!Q445</f>
        <v>841500</v>
      </c>
      <c r="T311" s="37" t="n">
        <f aca="false">'Assumptions &amp; Data'!R445</f>
        <v>181254</v>
      </c>
      <c r="U311" s="37" t="n">
        <f aca="false">'Assumptions &amp; Data'!S445</f>
        <v>359497</v>
      </c>
      <c r="V311" s="39" t="n">
        <f aca="false">Q311-R311-S311-T311-U311</f>
        <v>388915.923716439</v>
      </c>
      <c r="W311" s="39" t="n">
        <f aca="false">DAY(EOMONTH(C311,0))</f>
        <v>31</v>
      </c>
      <c r="X311" s="40" t="n">
        <f aca="false">E311/W311</f>
        <v>1090.77419354839</v>
      </c>
      <c r="Y311" s="39" t="n">
        <f aca="false">R311+S311+T311+U311</f>
        <v>1957251</v>
      </c>
    </row>
    <row r="312" customFormat="false" ht="15" hidden="false" customHeight="false" outlineLevel="0" collapsed="false">
      <c r="A312" s="37" t="str">
        <f aca="false">'Assumptions &amp; Data'!A446</f>
        <v>SM0242</v>
      </c>
      <c r="B312" s="37" t="str">
        <f aca="false">'Assumptions &amp; Data'!B446</f>
        <v>DS021</v>
      </c>
      <c r="C312" s="38" t="n">
        <f aca="false">'Assumptions &amp; Data'!C446</f>
        <v>45962</v>
      </c>
      <c r="D312" s="39" t="str">
        <f aca="false">INDEX('Assumptions &amp; Data'!$B$142:$B$201,MATCH(B312,'Assumptions &amp; Data'!$A$142:$A$201,0))</f>
        <v>Mumbai MMR</v>
      </c>
      <c r="E312" s="37" t="n">
        <f aca="false">'Assumptions &amp; Data'!D446</f>
        <v>37988</v>
      </c>
      <c r="F312" s="39" t="n">
        <f aca="false">E312*'Assumptions &amp; Data'!E446</f>
        <v>27735038.8</v>
      </c>
      <c r="G312" s="39" t="n">
        <f aca="false">F312*'Assumptions &amp; Data'!F446</f>
        <v>1641914.29696</v>
      </c>
      <c r="H312" s="39" t="n">
        <f aca="false">F312-G312</f>
        <v>26093124.50304</v>
      </c>
      <c r="I312" s="39" t="n">
        <f aca="false">H312*'Assumptions &amp; Data'!G446</f>
        <v>4464533.60247015</v>
      </c>
      <c r="J312" s="39" t="n">
        <f aca="false">E312*'Assumptions &amp; Data'!H446</f>
        <v>483967.12</v>
      </c>
      <c r="K312" s="39" t="n">
        <f aca="false">H312*'Assumptions &amp; Data'!I446</f>
        <v>863682.421050624</v>
      </c>
      <c r="L312" s="39" t="n">
        <f aca="false">H312*'Assumptions &amp; Data'!J446</f>
        <v>649718.800125696</v>
      </c>
      <c r="M312" s="39" t="n">
        <f aca="false">I312+J312+K312-L312</f>
        <v>5162464.34339507</v>
      </c>
      <c r="N312" s="39" t="n">
        <f aca="false">E312*'Assumptions &amp; Data'!N446</f>
        <v>1670332.36</v>
      </c>
      <c r="O312" s="39" t="n">
        <f aca="false">E312*'Assumptions &amp; Data'!O446</f>
        <v>404192.32</v>
      </c>
      <c r="P312" s="39" t="n">
        <f aca="false">H312*'Assumptions &amp; Data'!P446</f>
        <v>250493.995229184</v>
      </c>
      <c r="Q312" s="39" t="n">
        <f aca="false">M312-N312-O312-P312</f>
        <v>2837445.66816589</v>
      </c>
      <c r="R312" s="39" t="n">
        <f aca="false">'Assumptions &amp; Data'!L446*'Assumptions &amp; Data'!M446</f>
        <v>667609</v>
      </c>
      <c r="S312" s="37" t="n">
        <f aca="false">'Assumptions &amp; Data'!Q446</f>
        <v>841500</v>
      </c>
      <c r="T312" s="37" t="n">
        <f aca="false">'Assumptions &amp; Data'!R446</f>
        <v>172921</v>
      </c>
      <c r="U312" s="37" t="n">
        <f aca="false">'Assumptions &amp; Data'!S446</f>
        <v>381855</v>
      </c>
      <c r="V312" s="39" t="n">
        <f aca="false">Q312-R312-S312-T312-U312</f>
        <v>773560.668165889</v>
      </c>
      <c r="W312" s="39" t="n">
        <f aca="false">DAY(EOMONTH(C312,0))</f>
        <v>30</v>
      </c>
      <c r="X312" s="40" t="n">
        <f aca="false">E312/W312</f>
        <v>1266.26666666667</v>
      </c>
      <c r="Y312" s="39" t="n">
        <f aca="false">R312+S312+T312+U312</f>
        <v>2063885</v>
      </c>
    </row>
    <row r="313" customFormat="false" ht="15" hidden="false" customHeight="false" outlineLevel="0" collapsed="false">
      <c r="A313" s="37" t="str">
        <f aca="false">'Assumptions &amp; Data'!A447</f>
        <v>SM0243</v>
      </c>
      <c r="B313" s="37" t="str">
        <f aca="false">'Assumptions &amp; Data'!B447</f>
        <v>DS021</v>
      </c>
      <c r="C313" s="38" t="n">
        <f aca="false">'Assumptions &amp; Data'!C447</f>
        <v>45992</v>
      </c>
      <c r="D313" s="39" t="str">
        <f aca="false">INDEX('Assumptions &amp; Data'!$B$142:$B$201,MATCH(B313,'Assumptions &amp; Data'!$A$142:$A$201,0))</f>
        <v>Mumbai MMR</v>
      </c>
      <c r="E313" s="37" t="n">
        <f aca="false">'Assumptions &amp; Data'!D447</f>
        <v>38239</v>
      </c>
      <c r="F313" s="39" t="n">
        <f aca="false">E313*'Assumptions &amp; Data'!E447</f>
        <v>27555023.4</v>
      </c>
      <c r="G313" s="39" t="n">
        <f aca="false">F313*'Assumptions &amp; Data'!F447</f>
        <v>1526548.29636</v>
      </c>
      <c r="H313" s="39" t="n">
        <f aca="false">F313-G313</f>
        <v>26028475.10364</v>
      </c>
      <c r="I313" s="39" t="n">
        <f aca="false">H313*'Assumptions &amp; Data'!G447</f>
        <v>4443060.70019135</v>
      </c>
      <c r="J313" s="39" t="n">
        <f aca="false">E313*'Assumptions &amp; Data'!H447</f>
        <v>499018.95</v>
      </c>
      <c r="K313" s="39" t="n">
        <f aca="false">H313*'Assumptions &amp; Data'!I447</f>
        <v>822499.813275024</v>
      </c>
      <c r="L313" s="39" t="n">
        <f aca="false">H313*'Assumptions &amp; Data'!J447</f>
        <v>676740.35269464</v>
      </c>
      <c r="M313" s="39" t="n">
        <f aca="false">I313+J313+K313-L313</f>
        <v>5087839.11077173</v>
      </c>
      <c r="N313" s="39" t="n">
        <f aca="false">E313*'Assumptions &amp; Data'!N447</f>
        <v>1676780.15</v>
      </c>
      <c r="O313" s="39" t="n">
        <f aca="false">E313*'Assumptions &amp; Data'!O447</f>
        <v>412598.81</v>
      </c>
      <c r="P313" s="39" t="n">
        <f aca="false">H313*'Assumptions &amp; Data'!P447</f>
        <v>252476.208505308</v>
      </c>
      <c r="Q313" s="39" t="n">
        <f aca="false">M313-N313-O313-P313</f>
        <v>2745983.94226642</v>
      </c>
      <c r="R313" s="39" t="n">
        <f aca="false">'Assumptions &amp; Data'!L447*'Assumptions &amp; Data'!M447</f>
        <v>645176</v>
      </c>
      <c r="S313" s="37" t="n">
        <f aca="false">'Assumptions &amp; Data'!Q447</f>
        <v>841500</v>
      </c>
      <c r="T313" s="37" t="n">
        <f aca="false">'Assumptions &amp; Data'!R447</f>
        <v>187858</v>
      </c>
      <c r="U313" s="37" t="n">
        <f aca="false">'Assumptions &amp; Data'!S447</f>
        <v>373074</v>
      </c>
      <c r="V313" s="39" t="n">
        <f aca="false">Q313-R313-S313-T313-U313</f>
        <v>698375.942266424</v>
      </c>
      <c r="W313" s="39" t="n">
        <f aca="false">DAY(EOMONTH(C313,0))</f>
        <v>31</v>
      </c>
      <c r="X313" s="40" t="n">
        <f aca="false">E313/W313</f>
        <v>1233.51612903226</v>
      </c>
      <c r="Y313" s="39" t="n">
        <f aca="false">R313+S313+T313+U313</f>
        <v>2047608</v>
      </c>
    </row>
    <row r="314" customFormat="false" ht="15" hidden="false" customHeight="false" outlineLevel="0" collapsed="false">
      <c r="A314" s="37" t="str">
        <f aca="false">'Assumptions &amp; Data'!A448</f>
        <v>SM0244</v>
      </c>
      <c r="B314" s="37" t="str">
        <f aca="false">'Assumptions &amp; Data'!B448</f>
        <v>DS021</v>
      </c>
      <c r="C314" s="38" t="n">
        <f aca="false">'Assumptions &amp; Data'!C448</f>
        <v>46023</v>
      </c>
      <c r="D314" s="39" t="str">
        <f aca="false">INDEX('Assumptions &amp; Data'!$B$142:$B$201,MATCH(B314,'Assumptions &amp; Data'!$A$142:$A$201,0))</f>
        <v>Mumbai MMR</v>
      </c>
      <c r="E314" s="37" t="n">
        <f aca="false">'Assumptions &amp; Data'!D448</f>
        <v>40078</v>
      </c>
      <c r="F314" s="39" t="n">
        <f aca="false">E314*'Assumptions &amp; Data'!E448</f>
        <v>29309041.4</v>
      </c>
      <c r="G314" s="39" t="n">
        <f aca="false">F314*'Assumptions &amp; Data'!F448</f>
        <v>1597342.7563</v>
      </c>
      <c r="H314" s="39" t="n">
        <f aca="false">F314-G314</f>
        <v>27711698.6437</v>
      </c>
      <c r="I314" s="39" t="n">
        <f aca="false">H314*'Assumptions &amp; Data'!G448</f>
        <v>4625082.50363353</v>
      </c>
      <c r="J314" s="39" t="n">
        <f aca="false">E314*'Assumptions &amp; Data'!H448</f>
        <v>501375.78</v>
      </c>
      <c r="K314" s="39" t="n">
        <f aca="false">H314*'Assumptions &amp; Data'!I448</f>
        <v>881232.01686966</v>
      </c>
      <c r="L314" s="39" t="n">
        <f aca="false">H314*'Assumptions &amp; Data'!J448</f>
        <v>728817.67432931</v>
      </c>
      <c r="M314" s="39" t="n">
        <f aca="false">I314+J314+K314-L314</f>
        <v>5278872.62617388</v>
      </c>
      <c r="N314" s="39" t="n">
        <f aca="false">E314*'Assumptions &amp; Data'!N448</f>
        <v>1779062.42</v>
      </c>
      <c r="O314" s="39" t="n">
        <f aca="false">E314*'Assumptions &amp; Data'!O448</f>
        <v>446869.7</v>
      </c>
      <c r="P314" s="39" t="n">
        <f aca="false">H314*'Assumptions &amp; Data'!P448</f>
        <v>282659.32616574</v>
      </c>
      <c r="Q314" s="39" t="n">
        <f aca="false">M314-N314-O314-P314</f>
        <v>2770281.18000814</v>
      </c>
      <c r="R314" s="39" t="n">
        <f aca="false">'Assumptions &amp; Data'!L448*'Assumptions &amp; Data'!M448</f>
        <v>714953</v>
      </c>
      <c r="S314" s="37" t="n">
        <f aca="false">'Assumptions &amp; Data'!Q448</f>
        <v>841500</v>
      </c>
      <c r="T314" s="37" t="n">
        <f aca="false">'Assumptions &amp; Data'!R448</f>
        <v>178586</v>
      </c>
      <c r="U314" s="37" t="n">
        <f aca="false">'Assumptions &amp; Data'!S448</f>
        <v>328717</v>
      </c>
      <c r="V314" s="39" t="n">
        <f aca="false">Q314-R314-S314-T314-U314</f>
        <v>706525.180008141</v>
      </c>
      <c r="W314" s="39" t="n">
        <f aca="false">DAY(EOMONTH(C314,0))</f>
        <v>31</v>
      </c>
      <c r="X314" s="40" t="n">
        <f aca="false">E314/W314</f>
        <v>1292.83870967742</v>
      </c>
      <c r="Y314" s="39" t="n">
        <f aca="false">R314+S314+T314+U314</f>
        <v>2063756</v>
      </c>
    </row>
    <row r="315" customFormat="false" ht="15" hidden="false" customHeight="false" outlineLevel="0" collapsed="false">
      <c r="A315" s="37" t="str">
        <f aca="false">'Assumptions &amp; Data'!A449</f>
        <v>SM0245</v>
      </c>
      <c r="B315" s="37" t="str">
        <f aca="false">'Assumptions &amp; Data'!B449</f>
        <v>DS021</v>
      </c>
      <c r="C315" s="38" t="n">
        <f aca="false">'Assumptions &amp; Data'!C449</f>
        <v>46054</v>
      </c>
      <c r="D315" s="39" t="str">
        <f aca="false">INDEX('Assumptions &amp; Data'!$B$142:$B$201,MATCH(B315,'Assumptions &amp; Data'!$A$142:$A$201,0))</f>
        <v>Mumbai MMR</v>
      </c>
      <c r="E315" s="37" t="n">
        <f aca="false">'Assumptions &amp; Data'!D449</f>
        <v>35010</v>
      </c>
      <c r="F315" s="39" t="n">
        <f aca="false">E315*'Assumptions &amp; Data'!E449</f>
        <v>25056657</v>
      </c>
      <c r="G315" s="39" t="n">
        <f aca="false">F315*'Assumptions &amp; Data'!F449</f>
        <v>1345542.4809</v>
      </c>
      <c r="H315" s="39" t="n">
        <f aca="false">F315-G315</f>
        <v>23711114.5191</v>
      </c>
      <c r="I315" s="39" t="n">
        <f aca="false">H315*'Assumptions &amp; Data'!G449</f>
        <v>3969240.57049734</v>
      </c>
      <c r="J315" s="39" t="n">
        <f aca="false">E315*'Assumptions &amp; Data'!H449</f>
        <v>469834.2</v>
      </c>
      <c r="K315" s="39" t="n">
        <f aca="false">H315*'Assumptions &amp; Data'!I449</f>
        <v>751642.33025547</v>
      </c>
      <c r="L315" s="39" t="n">
        <f aca="false">H315*'Assumptions &amp; Data'!J449</f>
        <v>597520.08588132</v>
      </c>
      <c r="M315" s="39" t="n">
        <f aca="false">I315+J315+K315-L315</f>
        <v>4593197.01487149</v>
      </c>
      <c r="N315" s="39" t="n">
        <f aca="false">E315*'Assumptions &amp; Data'!N449</f>
        <v>1563546.6</v>
      </c>
      <c r="O315" s="39" t="n">
        <f aca="false">E315*'Assumptions &amp; Data'!O449</f>
        <v>401914.8</v>
      </c>
      <c r="P315" s="39" t="n">
        <f aca="false">H315*'Assumptions &amp; Data'!P449</f>
        <v>241853.36809482</v>
      </c>
      <c r="Q315" s="39" t="n">
        <f aca="false">M315-N315-O315-P315</f>
        <v>2385882.24677667</v>
      </c>
      <c r="R315" s="39" t="n">
        <f aca="false">'Assumptions &amp; Data'!L449*'Assumptions &amp; Data'!M449</f>
        <v>669436</v>
      </c>
      <c r="S315" s="37" t="n">
        <f aca="false">'Assumptions &amp; Data'!Q449</f>
        <v>841500</v>
      </c>
      <c r="T315" s="37" t="n">
        <f aca="false">'Assumptions &amp; Data'!R449</f>
        <v>175492</v>
      </c>
      <c r="U315" s="37" t="n">
        <f aca="false">'Assumptions &amp; Data'!S449</f>
        <v>284801</v>
      </c>
      <c r="V315" s="39" t="n">
        <f aca="false">Q315-R315-S315-T315-U315</f>
        <v>414653.246776671</v>
      </c>
      <c r="W315" s="39" t="n">
        <f aca="false">DAY(EOMONTH(C315,0))</f>
        <v>28</v>
      </c>
      <c r="X315" s="40" t="n">
        <f aca="false">E315/W315</f>
        <v>1250.35714285714</v>
      </c>
      <c r="Y315" s="39" t="n">
        <f aca="false">R315+S315+T315+U315</f>
        <v>1971229</v>
      </c>
    </row>
    <row r="316" customFormat="false" ht="15" hidden="false" customHeight="false" outlineLevel="0" collapsed="false">
      <c r="A316" s="37" t="str">
        <f aca="false">'Assumptions &amp; Data'!A450</f>
        <v>SM0246</v>
      </c>
      <c r="B316" s="37" t="str">
        <f aca="false">'Assumptions &amp; Data'!B450</f>
        <v>DS021</v>
      </c>
      <c r="C316" s="38" t="n">
        <f aca="false">'Assumptions &amp; Data'!C450</f>
        <v>46082</v>
      </c>
      <c r="D316" s="39" t="str">
        <f aca="false">INDEX('Assumptions &amp; Data'!$B$142:$B$201,MATCH(B316,'Assumptions &amp; Data'!$A$142:$A$201,0))</f>
        <v>Mumbai MMR</v>
      </c>
      <c r="E316" s="37" t="n">
        <f aca="false">'Assumptions &amp; Data'!D450</f>
        <v>40474</v>
      </c>
      <c r="F316" s="39" t="n">
        <f aca="false">E316*'Assumptions &amp; Data'!E450</f>
        <v>27947297</v>
      </c>
      <c r="G316" s="39" t="n">
        <f aca="false">F316*'Assumptions &amp; Data'!F450</f>
        <v>1559459.1726</v>
      </c>
      <c r="H316" s="39" t="n">
        <f aca="false">F316-G316</f>
        <v>26387837.8274</v>
      </c>
      <c r="I316" s="39" t="n">
        <f aca="false">H316*'Assumptions &amp; Data'!G450</f>
        <v>4414685.26852402</v>
      </c>
      <c r="J316" s="39" t="n">
        <f aca="false">E316*'Assumptions &amp; Data'!H450</f>
        <v>526971.48</v>
      </c>
      <c r="K316" s="39" t="n">
        <f aca="false">H316*'Assumptions &amp; Data'!I450</f>
        <v>852327.16182502</v>
      </c>
      <c r="L316" s="39" t="n">
        <f aca="false">H316*'Assumptions &amp; Data'!J450</f>
        <v>662334.72946774</v>
      </c>
      <c r="M316" s="39" t="n">
        <f aca="false">I316+J316+K316-L316</f>
        <v>5131649.1808813</v>
      </c>
      <c r="N316" s="39" t="n">
        <f aca="false">E316*'Assumptions &amp; Data'!N450</f>
        <v>1759404.78</v>
      </c>
      <c r="O316" s="39" t="n">
        <f aca="false">E316*'Assumptions &amp; Data'!O450</f>
        <v>427405.44</v>
      </c>
      <c r="P316" s="39" t="n">
        <f aca="false">H316*'Assumptions &amp; Data'!P450</f>
        <v>258600.81070852</v>
      </c>
      <c r="Q316" s="39" t="n">
        <f aca="false">M316-N316-O316-P316</f>
        <v>2686238.15017278</v>
      </c>
      <c r="R316" s="39" t="n">
        <f aca="false">'Assumptions &amp; Data'!L450*'Assumptions &amp; Data'!M450</f>
        <v>716255</v>
      </c>
      <c r="S316" s="37" t="n">
        <f aca="false">'Assumptions &amp; Data'!Q450</f>
        <v>841500</v>
      </c>
      <c r="T316" s="37" t="n">
        <f aca="false">'Assumptions &amp; Data'!R450</f>
        <v>184757</v>
      </c>
      <c r="U316" s="37" t="n">
        <f aca="false">'Assumptions &amp; Data'!S450</f>
        <v>320504</v>
      </c>
      <c r="V316" s="39" t="n">
        <f aca="false">Q316-R316-S316-T316-U316</f>
        <v>623222.150172779</v>
      </c>
      <c r="W316" s="39" t="n">
        <f aca="false">DAY(EOMONTH(C316,0))</f>
        <v>31</v>
      </c>
      <c r="X316" s="40" t="n">
        <f aca="false">E316/W316</f>
        <v>1305.61290322581</v>
      </c>
      <c r="Y316" s="39" t="n">
        <f aca="false">R316+S316+T316+U316</f>
        <v>2063016</v>
      </c>
    </row>
    <row r="317" customFormat="false" ht="15" hidden="false" customHeight="false" outlineLevel="0" collapsed="false">
      <c r="A317" s="37" t="str">
        <f aca="false">'Assumptions &amp; Data'!A451</f>
        <v>SM0247</v>
      </c>
      <c r="B317" s="37" t="str">
        <f aca="false">'Assumptions &amp; Data'!B451</f>
        <v>DS021</v>
      </c>
      <c r="C317" s="38" t="n">
        <f aca="false">'Assumptions &amp; Data'!C451</f>
        <v>46113</v>
      </c>
      <c r="D317" s="39" t="str">
        <f aca="false">INDEX('Assumptions &amp; Data'!$B$142:$B$201,MATCH(B317,'Assumptions &amp; Data'!$A$142:$A$201,0))</f>
        <v>Mumbai MMR</v>
      </c>
      <c r="E317" s="37" t="n">
        <f aca="false">'Assumptions &amp; Data'!D451</f>
        <v>42700</v>
      </c>
      <c r="F317" s="39" t="n">
        <f aca="false">E317*'Assumptions &amp; Data'!E451</f>
        <v>31106950</v>
      </c>
      <c r="G317" s="39" t="n">
        <f aca="false">F317*'Assumptions &amp; Data'!F451</f>
        <v>1586454.45</v>
      </c>
      <c r="H317" s="39" t="n">
        <f aca="false">F317-G317</f>
        <v>29520495.55</v>
      </c>
      <c r="I317" s="39" t="n">
        <f aca="false">H317*'Assumptions &amp; Data'!G451</f>
        <v>5036196.54083</v>
      </c>
      <c r="J317" s="39" t="n">
        <f aca="false">E317*'Assumptions &amp; Data'!H451</f>
        <v>526491</v>
      </c>
      <c r="K317" s="39" t="n">
        <f aca="false">H317*'Assumptions &amp; Data'!I451</f>
        <v>983032.501815</v>
      </c>
      <c r="L317" s="39" t="n">
        <f aca="false">H317*'Assumptions &amp; Data'!J451</f>
        <v>779341.08252</v>
      </c>
      <c r="M317" s="39" t="n">
        <f aca="false">I317+J317+K317-L317</f>
        <v>5766378.960125</v>
      </c>
      <c r="N317" s="39" t="n">
        <f aca="false">E317*'Assumptions &amp; Data'!N451</f>
        <v>1899296</v>
      </c>
      <c r="O317" s="39" t="n">
        <f aca="false">E317*'Assumptions &amp; Data'!O451</f>
        <v>465857</v>
      </c>
      <c r="P317" s="39" t="n">
        <f aca="false">H317*'Assumptions &amp; Data'!P451</f>
        <v>307013.15372</v>
      </c>
      <c r="Q317" s="39" t="n">
        <f aca="false">M317-N317-O317-P317</f>
        <v>3094212.806405</v>
      </c>
      <c r="R317" s="39" t="n">
        <f aca="false">'Assumptions &amp; Data'!L451*'Assumptions &amp; Data'!M451</f>
        <v>763125</v>
      </c>
      <c r="S317" s="37" t="n">
        <f aca="false">'Assumptions &amp; Data'!Q451</f>
        <v>841500</v>
      </c>
      <c r="T317" s="37" t="n">
        <f aca="false">'Assumptions &amp; Data'!R451</f>
        <v>165691</v>
      </c>
      <c r="U317" s="37" t="n">
        <f aca="false">'Assumptions &amp; Data'!S451</f>
        <v>329136</v>
      </c>
      <c r="V317" s="39" t="n">
        <f aca="false">Q317-R317-S317-T317-U317</f>
        <v>994760.806405</v>
      </c>
      <c r="W317" s="39" t="n">
        <f aca="false">DAY(EOMONTH(C317,0))</f>
        <v>30</v>
      </c>
      <c r="X317" s="40" t="n">
        <f aca="false">E317/W317</f>
        <v>1423.33333333333</v>
      </c>
      <c r="Y317" s="39" t="n">
        <f aca="false">R317+S317+T317+U317</f>
        <v>2099452</v>
      </c>
    </row>
    <row r="318" customFormat="false" ht="15" hidden="false" customHeight="false" outlineLevel="0" collapsed="false">
      <c r="A318" s="37" t="str">
        <f aca="false">'Assumptions &amp; Data'!A452</f>
        <v>SM0248</v>
      </c>
      <c r="B318" s="37" t="str">
        <f aca="false">'Assumptions &amp; Data'!B452</f>
        <v>DS021</v>
      </c>
      <c r="C318" s="38" t="n">
        <f aca="false">'Assumptions &amp; Data'!C452</f>
        <v>46143</v>
      </c>
      <c r="D318" s="39" t="str">
        <f aca="false">INDEX('Assumptions &amp; Data'!$B$142:$B$201,MATCH(B318,'Assumptions &amp; Data'!$A$142:$A$201,0))</f>
        <v>Mumbai MMR</v>
      </c>
      <c r="E318" s="37" t="n">
        <f aca="false">'Assumptions &amp; Data'!D452</f>
        <v>48928</v>
      </c>
      <c r="F318" s="39" t="n">
        <f aca="false">E318*'Assumptions &amp; Data'!E452</f>
        <v>35433657.6</v>
      </c>
      <c r="G318" s="39" t="n">
        <f aca="false">F318*'Assumptions &amp; Data'!F452</f>
        <v>1934677.70496</v>
      </c>
      <c r="H318" s="39" t="n">
        <f aca="false">F318-G318</f>
        <v>33498979.89504</v>
      </c>
      <c r="I318" s="39" t="n">
        <f aca="false">H318*'Assumptions &amp; Data'!G452</f>
        <v>5728325.56205184</v>
      </c>
      <c r="J318" s="39" t="n">
        <f aca="false">E318*'Assumptions &amp; Data'!H452</f>
        <v>648296</v>
      </c>
      <c r="K318" s="39" t="n">
        <f aca="false">H318*'Assumptions &amp; Data'!I452</f>
        <v>1102116.43854682</v>
      </c>
      <c r="L318" s="39" t="n">
        <f aca="false">H318*'Assumptions &amp; Data'!J452</f>
        <v>870973.47727104</v>
      </c>
      <c r="M318" s="39" t="n">
        <f aca="false">I318+J318+K318-L318</f>
        <v>6607764.52332762</v>
      </c>
      <c r="N318" s="39" t="n">
        <f aca="false">E318*'Assumptions &amp; Data'!N452</f>
        <v>2175338.88</v>
      </c>
      <c r="O318" s="39" t="n">
        <f aca="false">E318*'Assumptions &amp; Data'!O452</f>
        <v>536250.88</v>
      </c>
      <c r="P318" s="39" t="n">
        <f aca="false">H318*'Assumptions &amp; Data'!P452</f>
        <v>331639.900960896</v>
      </c>
      <c r="Q318" s="39" t="n">
        <f aca="false">M318-N318-O318-P318</f>
        <v>3564534.86236672</v>
      </c>
      <c r="R318" s="39" t="n">
        <f aca="false">'Assumptions &amp; Data'!L452*'Assumptions &amp; Data'!M452</f>
        <v>879548</v>
      </c>
      <c r="S318" s="37" t="n">
        <f aca="false">'Assumptions &amp; Data'!Q452</f>
        <v>841500</v>
      </c>
      <c r="T318" s="37" t="n">
        <f aca="false">'Assumptions &amp; Data'!R452</f>
        <v>185529</v>
      </c>
      <c r="U318" s="37" t="n">
        <f aca="false">'Assumptions &amp; Data'!S452</f>
        <v>333276</v>
      </c>
      <c r="V318" s="39" t="n">
        <f aca="false">Q318-R318-S318-T318-U318</f>
        <v>1324681.86236672</v>
      </c>
      <c r="W318" s="39" t="n">
        <f aca="false">DAY(EOMONTH(C318,0))</f>
        <v>31</v>
      </c>
      <c r="X318" s="40" t="n">
        <f aca="false">E318/W318</f>
        <v>1578.32258064516</v>
      </c>
      <c r="Y318" s="39" t="n">
        <f aca="false">R318+S318+T318+U318</f>
        <v>2239853</v>
      </c>
    </row>
    <row r="319" customFormat="false" ht="15" hidden="false" customHeight="false" outlineLevel="0" collapsed="false">
      <c r="A319" s="37" t="str">
        <f aca="false">'Assumptions &amp; Data'!A453</f>
        <v>SM0249</v>
      </c>
      <c r="B319" s="37" t="str">
        <f aca="false">'Assumptions &amp; Data'!B453</f>
        <v>DS021</v>
      </c>
      <c r="C319" s="38" t="n">
        <f aca="false">'Assumptions &amp; Data'!C453</f>
        <v>46174</v>
      </c>
      <c r="D319" s="39" t="str">
        <f aca="false">INDEX('Assumptions &amp; Data'!$B$142:$B$201,MATCH(B319,'Assumptions &amp; Data'!$A$142:$A$201,0))</f>
        <v>Mumbai MMR</v>
      </c>
      <c r="E319" s="37" t="n">
        <f aca="false">'Assumptions &amp; Data'!D453</f>
        <v>47483</v>
      </c>
      <c r="F319" s="39" t="n">
        <f aca="false">E319*'Assumptions &amp; Data'!E453</f>
        <v>34249487.9</v>
      </c>
      <c r="G319" s="39" t="n">
        <f aca="false">F319*'Assumptions &amp; Data'!F453</f>
        <v>1873446.98813</v>
      </c>
      <c r="H319" s="39" t="n">
        <f aca="false">F319-G319</f>
        <v>32376040.91187</v>
      </c>
      <c r="I319" s="39" t="n">
        <f aca="false">H319*'Assumptions &amp; Data'!G453</f>
        <v>5465075.70592366</v>
      </c>
      <c r="J319" s="39" t="n">
        <f aca="false">E319*'Assumptions &amp; Data'!H453</f>
        <v>581191.92</v>
      </c>
      <c r="K319" s="39" t="n">
        <f aca="false">H319*'Assumptions &amp; Data'!I453</f>
        <v>977756.435538474</v>
      </c>
      <c r="L319" s="39" t="n">
        <f aca="false">H319*'Assumptions &amp; Data'!J453</f>
        <v>815876.230979124</v>
      </c>
      <c r="M319" s="39" t="n">
        <f aca="false">I319+J319+K319-L319</f>
        <v>6208147.83048301</v>
      </c>
      <c r="N319" s="39" t="n">
        <f aca="false">E319*'Assumptions &amp; Data'!N453</f>
        <v>2119166.29</v>
      </c>
      <c r="O319" s="39" t="n">
        <f aca="false">E319*'Assumptions &amp; Data'!O453</f>
        <v>513766.06</v>
      </c>
      <c r="P319" s="39" t="n">
        <f aca="false">H319*'Assumptions &amp; Data'!P453</f>
        <v>323760.4091187</v>
      </c>
      <c r="Q319" s="39" t="n">
        <f aca="false">M319-N319-O319-P319</f>
        <v>3251455.07136431</v>
      </c>
      <c r="R319" s="39" t="n">
        <f aca="false">'Assumptions &amp; Data'!L453*'Assumptions &amp; Data'!M453</f>
        <v>857179</v>
      </c>
      <c r="S319" s="37" t="n">
        <f aca="false">'Assumptions &amp; Data'!Q453</f>
        <v>841500</v>
      </c>
      <c r="T319" s="37" t="n">
        <f aca="false">'Assumptions &amp; Data'!R453</f>
        <v>169856</v>
      </c>
      <c r="U319" s="37" t="n">
        <f aca="false">'Assumptions &amp; Data'!S453</f>
        <v>317853</v>
      </c>
      <c r="V319" s="39" t="n">
        <f aca="false">Q319-R319-S319-T319-U319</f>
        <v>1065067.07136431</v>
      </c>
      <c r="W319" s="39" t="n">
        <f aca="false">DAY(EOMONTH(C319,0))</f>
        <v>30</v>
      </c>
      <c r="X319" s="40" t="n">
        <f aca="false">E319/W319</f>
        <v>1582.76666666667</v>
      </c>
      <c r="Y319" s="39" t="n">
        <f aca="false">R319+S319+T319+U319</f>
        <v>2186388</v>
      </c>
    </row>
    <row r="320" customFormat="false" ht="15" hidden="false" customHeight="false" outlineLevel="0" collapsed="false">
      <c r="A320" s="37" t="str">
        <f aca="false">'Assumptions &amp; Data'!A454</f>
        <v>SM0250</v>
      </c>
      <c r="B320" s="37" t="str">
        <f aca="false">'Assumptions &amp; Data'!B454</f>
        <v>DS021</v>
      </c>
      <c r="C320" s="38" t="n">
        <f aca="false">'Assumptions &amp; Data'!C454</f>
        <v>46204</v>
      </c>
      <c r="D320" s="39" t="str">
        <f aca="false">INDEX('Assumptions &amp; Data'!$B$142:$B$201,MATCH(B320,'Assumptions &amp; Data'!$A$142:$A$201,0))</f>
        <v>Mumbai MMR</v>
      </c>
      <c r="E320" s="37" t="n">
        <f aca="false">'Assumptions &amp; Data'!D454</f>
        <v>48676</v>
      </c>
      <c r="F320" s="39" t="n">
        <f aca="false">E320*'Assumptions &amp; Data'!E454</f>
        <v>35319305.6</v>
      </c>
      <c r="G320" s="39" t="n">
        <f aca="false">F320*'Assumptions &amp; Data'!F454</f>
        <v>1857795.47456</v>
      </c>
      <c r="H320" s="39" t="n">
        <f aca="false">F320-G320</f>
        <v>33461510.12544</v>
      </c>
      <c r="I320" s="39" t="n">
        <f aca="false">H320*'Assumptions &amp; Data'!G454</f>
        <v>5752033.59056314</v>
      </c>
      <c r="J320" s="39" t="n">
        <f aca="false">E320*'Assumptions &amp; Data'!H454</f>
        <v>633761.52</v>
      </c>
      <c r="K320" s="39" t="n">
        <f aca="false">H320*'Assumptions &amp; Data'!I454</f>
        <v>1117614.4381897</v>
      </c>
      <c r="L320" s="39" t="n">
        <f aca="false">H320*'Assumptions &amp; Data'!J454</f>
        <v>880037.716299072</v>
      </c>
      <c r="M320" s="39" t="n">
        <f aca="false">I320+J320+K320-L320</f>
        <v>6623371.83245376</v>
      </c>
      <c r="N320" s="39" t="n">
        <f aca="false">E320*'Assumptions &amp; Data'!N454</f>
        <v>2173870.16</v>
      </c>
      <c r="O320" s="39" t="n">
        <f aca="false">E320*'Assumptions &amp; Data'!O454</f>
        <v>551499.08</v>
      </c>
      <c r="P320" s="39" t="n">
        <f aca="false">H320*'Assumptions &amp; Data'!P454</f>
        <v>321230.497204224</v>
      </c>
      <c r="Q320" s="39" t="n">
        <f aca="false">M320-N320-O320-P320</f>
        <v>3576772.09524954</v>
      </c>
      <c r="R320" s="39" t="n">
        <f aca="false">'Assumptions &amp; Data'!L454*'Assumptions &amp; Data'!M454</f>
        <v>881144</v>
      </c>
      <c r="S320" s="37" t="n">
        <f aca="false">'Assumptions &amp; Data'!Q454</f>
        <v>841500</v>
      </c>
      <c r="T320" s="37" t="n">
        <f aca="false">'Assumptions &amp; Data'!R454</f>
        <v>179523</v>
      </c>
      <c r="U320" s="37" t="n">
        <f aca="false">'Assumptions &amp; Data'!S454</f>
        <v>326465</v>
      </c>
      <c r="V320" s="39" t="n">
        <f aca="false">Q320-R320-S320-T320-U320</f>
        <v>1348140.09524954</v>
      </c>
      <c r="W320" s="39" t="n">
        <f aca="false">DAY(EOMONTH(C320,0))</f>
        <v>31</v>
      </c>
      <c r="X320" s="40" t="n">
        <f aca="false">E320/W320</f>
        <v>1570.1935483871</v>
      </c>
      <c r="Y320" s="39" t="n">
        <f aca="false">R320+S320+T320+U320</f>
        <v>2228632</v>
      </c>
    </row>
    <row r="321" customFormat="false" ht="15" hidden="false" customHeight="false" outlineLevel="0" collapsed="false">
      <c r="A321" s="37" t="str">
        <f aca="false">'Assumptions &amp; Data'!A455</f>
        <v>SM0251</v>
      </c>
      <c r="B321" s="37" t="str">
        <f aca="false">'Assumptions &amp; Data'!B455</f>
        <v>DS021</v>
      </c>
      <c r="C321" s="38" t="n">
        <f aca="false">'Assumptions &amp; Data'!C455</f>
        <v>46235</v>
      </c>
      <c r="D321" s="39" t="str">
        <f aca="false">INDEX('Assumptions &amp; Data'!$B$142:$B$201,MATCH(B321,'Assumptions &amp; Data'!$A$142:$A$201,0))</f>
        <v>Mumbai MMR</v>
      </c>
      <c r="E321" s="37" t="n">
        <f aca="false">'Assumptions &amp; Data'!D455</f>
        <v>47129</v>
      </c>
      <c r="F321" s="39" t="n">
        <f aca="false">E321*'Assumptions &amp; Data'!E455</f>
        <v>33749076.9</v>
      </c>
      <c r="G321" s="39" t="n">
        <f aca="false">F321*'Assumptions &amp; Data'!F455</f>
        <v>1873073.76795</v>
      </c>
      <c r="H321" s="39" t="n">
        <f aca="false">F321-G321</f>
        <v>31876003.13205</v>
      </c>
      <c r="I321" s="39" t="n">
        <f aca="false">H321*'Assumptions &amp; Data'!G455</f>
        <v>5291416.5199203</v>
      </c>
      <c r="J321" s="39" t="n">
        <f aca="false">E321*'Assumptions &amp; Data'!H455</f>
        <v>615504.74</v>
      </c>
      <c r="K321" s="39" t="n">
        <f aca="false">H321*'Assumptions &amp; Data'!I455</f>
        <v>1026407.30085201</v>
      </c>
      <c r="L321" s="39" t="n">
        <f aca="false">H321*'Assumptions &amp; Data'!J455</f>
        <v>851089.283625735</v>
      </c>
      <c r="M321" s="39" t="n">
        <f aca="false">I321+J321+K321-L321</f>
        <v>6082239.27714658</v>
      </c>
      <c r="N321" s="39" t="n">
        <f aca="false">E321*'Assumptions &amp; Data'!N455</f>
        <v>2099596.95</v>
      </c>
      <c r="O321" s="39" t="n">
        <f aca="false">E321*'Assumptions &amp; Data'!O455</f>
        <v>511349.65</v>
      </c>
      <c r="P321" s="39" t="n">
        <f aca="false">H321*'Assumptions &amp; Data'!P455</f>
        <v>334698.032886525</v>
      </c>
      <c r="Q321" s="39" t="n">
        <f aca="false">M321-N321-O321-P321</f>
        <v>3136594.64426005</v>
      </c>
      <c r="R321" s="39" t="n">
        <f aca="false">'Assumptions &amp; Data'!L455*'Assumptions &amp; Data'!M455</f>
        <v>858733</v>
      </c>
      <c r="S321" s="37" t="n">
        <f aca="false">'Assumptions &amp; Data'!Q455</f>
        <v>841500</v>
      </c>
      <c r="T321" s="37" t="n">
        <f aca="false">'Assumptions &amp; Data'!R455</f>
        <v>172994</v>
      </c>
      <c r="U321" s="37" t="n">
        <f aca="false">'Assumptions &amp; Data'!S455</f>
        <v>295566</v>
      </c>
      <c r="V321" s="39" t="n">
        <f aca="false">Q321-R321-S321-T321-U321</f>
        <v>967801.644260051</v>
      </c>
      <c r="W321" s="39" t="n">
        <f aca="false">DAY(EOMONTH(C321,0))</f>
        <v>31</v>
      </c>
      <c r="X321" s="40" t="n">
        <f aca="false">E321/W321</f>
        <v>1520.29032258065</v>
      </c>
      <c r="Y321" s="39" t="n">
        <f aca="false">R321+S321+T321+U321</f>
        <v>2168793</v>
      </c>
    </row>
    <row r="322" customFormat="false" ht="15" hidden="false" customHeight="false" outlineLevel="0" collapsed="false">
      <c r="A322" s="37" t="str">
        <f aca="false">'Assumptions &amp; Data'!A456</f>
        <v>SM0252</v>
      </c>
      <c r="B322" s="37" t="str">
        <f aca="false">'Assumptions &amp; Data'!B456</f>
        <v>DS021</v>
      </c>
      <c r="C322" s="38" t="n">
        <f aca="false">'Assumptions &amp; Data'!C456</f>
        <v>46266</v>
      </c>
      <c r="D322" s="39" t="str">
        <f aca="false">INDEX('Assumptions &amp; Data'!$B$142:$B$201,MATCH(B322,'Assumptions &amp; Data'!$A$142:$A$201,0))</f>
        <v>Mumbai MMR</v>
      </c>
      <c r="E322" s="37" t="n">
        <f aca="false">'Assumptions &amp; Data'!D456</f>
        <v>47683</v>
      </c>
      <c r="F322" s="39" t="n">
        <f aca="false">E322*'Assumptions &amp; Data'!E456</f>
        <v>34846736.4</v>
      </c>
      <c r="G322" s="39" t="n">
        <f aca="false">F322*'Assumptions &amp; Data'!F456</f>
        <v>1822484.31372</v>
      </c>
      <c r="H322" s="39" t="n">
        <f aca="false">F322-G322</f>
        <v>33024252.08628</v>
      </c>
      <c r="I322" s="39" t="n">
        <f aca="false">H322*'Assumptions &amp; Data'!G456</f>
        <v>5650449.53196251</v>
      </c>
      <c r="J322" s="39" t="n">
        <f aca="false">E322*'Assumptions &amp; Data'!H456</f>
        <v>612726.55</v>
      </c>
      <c r="K322" s="39" t="n">
        <f aca="false">H322*'Assumptions &amp; Data'!I456</f>
        <v>1106312.44489038</v>
      </c>
      <c r="L322" s="39" t="n">
        <f aca="false">H322*'Assumptions &amp; Data'!J456</f>
        <v>838816.002991512</v>
      </c>
      <c r="M322" s="39" t="n">
        <f aca="false">I322+J322+K322-L322</f>
        <v>6530672.52386138</v>
      </c>
      <c r="N322" s="39" t="n">
        <f aca="false">E322*'Assumptions &amp; Data'!N456</f>
        <v>2142397.19</v>
      </c>
      <c r="O322" s="39" t="n">
        <f aca="false">E322*'Assumptions &amp; Data'!O456</f>
        <v>526420.32</v>
      </c>
      <c r="P322" s="39" t="n">
        <f aca="false">H322*'Assumptions &amp; Data'!P456</f>
        <v>330242.5208628</v>
      </c>
      <c r="Q322" s="39" t="n">
        <f aca="false">M322-N322-O322-P322</f>
        <v>3531612.49299858</v>
      </c>
      <c r="R322" s="39" t="n">
        <f aca="false">'Assumptions &amp; Data'!L456*'Assumptions &amp; Data'!M456</f>
        <v>882740</v>
      </c>
      <c r="S322" s="37" t="n">
        <f aca="false">'Assumptions &amp; Data'!Q456</f>
        <v>841500</v>
      </c>
      <c r="T322" s="37" t="n">
        <f aca="false">'Assumptions &amp; Data'!R456</f>
        <v>185237</v>
      </c>
      <c r="U322" s="37" t="n">
        <f aca="false">'Assumptions &amp; Data'!S456</f>
        <v>301408</v>
      </c>
      <c r="V322" s="39" t="n">
        <f aca="false">Q322-R322-S322-T322-U322</f>
        <v>1320727.49299858</v>
      </c>
      <c r="W322" s="39" t="n">
        <f aca="false">DAY(EOMONTH(C322,0))</f>
        <v>30</v>
      </c>
      <c r="X322" s="40" t="n">
        <f aca="false">E322/W322</f>
        <v>1589.43333333333</v>
      </c>
      <c r="Y322" s="39" t="n">
        <f aca="false">R322+S322+T322+U322</f>
        <v>2210885</v>
      </c>
    </row>
    <row r="323" customFormat="false" ht="15" hidden="false" customHeight="false" outlineLevel="0" collapsed="false">
      <c r="A323" s="37" t="str">
        <f aca="false">'Assumptions &amp; Data'!A457</f>
        <v>SM0253</v>
      </c>
      <c r="B323" s="37" t="str">
        <f aca="false">'Assumptions &amp; Data'!B457</f>
        <v>DS022</v>
      </c>
      <c r="C323" s="38" t="n">
        <f aca="false">'Assumptions &amp; Data'!C457</f>
        <v>45931</v>
      </c>
      <c r="D323" s="39" t="str">
        <f aca="false">INDEX('Assumptions &amp; Data'!$B$142:$B$201,MATCH(B323,'Assumptions &amp; Data'!$A$142:$A$201,0))</f>
        <v>Mumbai MMR</v>
      </c>
      <c r="E323" s="37" t="n">
        <f aca="false">'Assumptions &amp; Data'!D457</f>
        <v>2882</v>
      </c>
      <c r="F323" s="39" t="n">
        <f aca="false">E323*'Assumptions &amp; Data'!E457</f>
        <v>2117693.6</v>
      </c>
      <c r="G323" s="39" t="n">
        <f aca="false">F323*'Assumptions &amp; Data'!F457</f>
        <v>176615.64624</v>
      </c>
      <c r="H323" s="39" t="n">
        <f aca="false">F323-G323</f>
        <v>1941077.95376</v>
      </c>
      <c r="I323" s="39" t="n">
        <f aca="false">H323*'Assumptions &amp; Data'!G457</f>
        <v>312125.334964608</v>
      </c>
      <c r="J323" s="39" t="n">
        <f aca="false">E323*'Assumptions &amp; Data'!H457</f>
        <v>34584</v>
      </c>
      <c r="K323" s="39" t="n">
        <f aca="false">H323*'Assumptions &amp; Data'!I457</f>
        <v>31639.570646288</v>
      </c>
      <c r="L323" s="39" t="n">
        <f aca="false">H323*'Assumptions &amp; Data'!J457</f>
        <v>74731.50121976</v>
      </c>
      <c r="M323" s="39" t="n">
        <f aca="false">I323+J323+K323-L323</f>
        <v>303617.404391136</v>
      </c>
      <c r="N323" s="39" t="n">
        <f aca="false">E323*'Assumptions &amp; Data'!N457</f>
        <v>155714.46</v>
      </c>
      <c r="O323" s="39" t="n">
        <f aca="false">E323*'Assumptions &amp; Data'!O457</f>
        <v>30433.92</v>
      </c>
      <c r="P323" s="39" t="n">
        <f aca="false">H323*'Assumptions &amp; Data'!P457</f>
        <v>18634.348356096</v>
      </c>
      <c r="Q323" s="39" t="n">
        <f aca="false">M323-N323-O323-P323</f>
        <v>98834.67603504</v>
      </c>
      <c r="R323" s="39" t="n">
        <f aca="false">'Assumptions &amp; Data'!L457*'Assumptions &amp; Data'!M457</f>
        <v>368000</v>
      </c>
      <c r="S323" s="37" t="n">
        <f aca="false">'Assumptions &amp; Data'!Q457</f>
        <v>794500</v>
      </c>
      <c r="T323" s="37" t="n">
        <f aca="false">'Assumptions &amp; Data'!R457</f>
        <v>159318</v>
      </c>
      <c r="U323" s="37" t="n">
        <f aca="false">'Assumptions &amp; Data'!S457</f>
        <v>64843</v>
      </c>
      <c r="V323" s="39" t="n">
        <f aca="false">Q323-R323-S323-T323-U323</f>
        <v>-1287826.32396496</v>
      </c>
      <c r="W323" s="39" t="n">
        <f aca="false">DAY(EOMONTH(C323,0))</f>
        <v>31</v>
      </c>
      <c r="X323" s="40" t="n">
        <f aca="false">E323/W323</f>
        <v>92.9677419354839</v>
      </c>
      <c r="Y323" s="39" t="n">
        <f aca="false">R323+S323+T323+U323</f>
        <v>1386661</v>
      </c>
    </row>
    <row r="324" customFormat="false" ht="15" hidden="false" customHeight="false" outlineLevel="0" collapsed="false">
      <c r="A324" s="37" t="str">
        <f aca="false">'Assumptions &amp; Data'!A458</f>
        <v>SM0254</v>
      </c>
      <c r="B324" s="37" t="str">
        <f aca="false">'Assumptions &amp; Data'!B458</f>
        <v>DS022</v>
      </c>
      <c r="C324" s="38" t="n">
        <f aca="false">'Assumptions &amp; Data'!C458</f>
        <v>45962</v>
      </c>
      <c r="D324" s="39" t="str">
        <f aca="false">INDEX('Assumptions &amp; Data'!$B$142:$B$201,MATCH(B324,'Assumptions &amp; Data'!$A$142:$A$201,0))</f>
        <v>Mumbai MMR</v>
      </c>
      <c r="E324" s="37" t="n">
        <f aca="false">'Assumptions &amp; Data'!D458</f>
        <v>5889</v>
      </c>
      <c r="F324" s="39" t="n">
        <f aca="false">E324*'Assumptions &amp; Data'!E458</f>
        <v>4301914.5</v>
      </c>
      <c r="G324" s="39" t="n">
        <f aca="false">F324*'Assumptions &amp; Data'!F458</f>
        <v>348455.0745</v>
      </c>
      <c r="H324" s="39" t="n">
        <f aca="false">F324-G324</f>
        <v>3953459.4255</v>
      </c>
      <c r="I324" s="39" t="n">
        <f aca="false">H324*'Assumptions &amp; Data'!G458</f>
        <v>639669.7350459</v>
      </c>
      <c r="J324" s="39" t="n">
        <f aca="false">E324*'Assumptions &amp; Data'!H458</f>
        <v>75438.09</v>
      </c>
      <c r="K324" s="39" t="n">
        <f aca="false">H324*'Assumptions &amp; Data'!I458</f>
        <v>77092.45879725</v>
      </c>
      <c r="L324" s="39" t="n">
        <f aca="false">H324*'Assumptions &amp; Data'!J458</f>
        <v>149440.7662839</v>
      </c>
      <c r="M324" s="39" t="n">
        <f aca="false">I324+J324+K324-L324</f>
        <v>642759.51755925</v>
      </c>
      <c r="N324" s="39" t="n">
        <f aca="false">E324*'Assumptions &amp; Data'!N458</f>
        <v>312647.01</v>
      </c>
      <c r="O324" s="39" t="n">
        <f aca="false">E324*'Assumptions &amp; Data'!O458</f>
        <v>64131.21</v>
      </c>
      <c r="P324" s="39" t="n">
        <f aca="false">H324*'Assumptions &amp; Data'!P458</f>
        <v>39534.594255</v>
      </c>
      <c r="Q324" s="39" t="n">
        <f aca="false">M324-N324-O324-P324</f>
        <v>226446.70330425</v>
      </c>
      <c r="R324" s="39" t="n">
        <f aca="false">'Assumptions &amp; Data'!L458*'Assumptions &amp; Data'!M458</f>
        <v>368336</v>
      </c>
      <c r="S324" s="37" t="n">
        <f aca="false">'Assumptions &amp; Data'!Q458</f>
        <v>794500</v>
      </c>
      <c r="T324" s="37" t="n">
        <f aca="false">'Assumptions &amp; Data'!R458</f>
        <v>146963</v>
      </c>
      <c r="U324" s="37" t="n">
        <f aca="false">'Assumptions &amp; Data'!S458</f>
        <v>120132</v>
      </c>
      <c r="V324" s="39" t="n">
        <f aca="false">Q324-R324-S324-T324-U324</f>
        <v>-1203484.29669575</v>
      </c>
      <c r="W324" s="39" t="n">
        <f aca="false">DAY(EOMONTH(C324,0))</f>
        <v>30</v>
      </c>
      <c r="X324" s="40" t="n">
        <f aca="false">E324/W324</f>
        <v>196.3</v>
      </c>
      <c r="Y324" s="39" t="n">
        <f aca="false">R324+S324+T324+U324</f>
        <v>1429931</v>
      </c>
    </row>
    <row r="325" customFormat="false" ht="15" hidden="false" customHeight="false" outlineLevel="0" collapsed="false">
      <c r="A325" s="37" t="str">
        <f aca="false">'Assumptions &amp; Data'!A459</f>
        <v>SM0255</v>
      </c>
      <c r="B325" s="37" t="str">
        <f aca="false">'Assumptions &amp; Data'!B459</f>
        <v>DS022</v>
      </c>
      <c r="C325" s="38" t="n">
        <f aca="false">'Assumptions &amp; Data'!C459</f>
        <v>45992</v>
      </c>
      <c r="D325" s="39" t="str">
        <f aca="false">INDEX('Assumptions &amp; Data'!$B$142:$B$201,MATCH(B325,'Assumptions &amp; Data'!$A$142:$A$201,0))</f>
        <v>Mumbai MMR</v>
      </c>
      <c r="E325" s="37" t="n">
        <f aca="false">'Assumptions &amp; Data'!D459</f>
        <v>7654</v>
      </c>
      <c r="F325" s="39" t="n">
        <f aca="false">E325*'Assumptions &amp; Data'!E459</f>
        <v>5552211.6</v>
      </c>
      <c r="G325" s="39" t="n">
        <f aca="false">F325*'Assumptions &amp; Data'!F459</f>
        <v>420302.41812</v>
      </c>
      <c r="H325" s="39" t="n">
        <f aca="false">F325-G325</f>
        <v>5131909.18188</v>
      </c>
      <c r="I325" s="39" t="n">
        <f aca="false">H325*'Assumptions &amp; Data'!G459</f>
        <v>833935.2420555</v>
      </c>
      <c r="J325" s="39" t="n">
        <f aca="false">E325*'Assumptions &amp; Data'!H459</f>
        <v>94833.06</v>
      </c>
      <c r="K325" s="39" t="n">
        <f aca="false">H325*'Assumptions &amp; Data'!I459</f>
        <v>91347.983437464</v>
      </c>
      <c r="L325" s="39" t="n">
        <f aca="false">H325*'Assumptions &amp; Data'!J459</f>
        <v>187827.876056808</v>
      </c>
      <c r="M325" s="39" t="n">
        <f aca="false">I325+J325+K325-L325</f>
        <v>832288.409436156</v>
      </c>
      <c r="N325" s="39" t="n">
        <f aca="false">E325*'Assumptions &amp; Data'!N459</f>
        <v>392344.04</v>
      </c>
      <c r="O325" s="39" t="n">
        <f aca="false">E325*'Assumptions &amp; Data'!O459</f>
        <v>87791.38</v>
      </c>
      <c r="P325" s="39" t="n">
        <f aca="false">H325*'Assumptions &amp; Data'!P459</f>
        <v>52858.664573364</v>
      </c>
      <c r="Q325" s="39" t="n">
        <f aca="false">M325-N325-O325-P325</f>
        <v>299294.324862792</v>
      </c>
      <c r="R325" s="39" t="n">
        <f aca="false">'Assumptions &amp; Data'!L459*'Assumptions &amp; Data'!M459</f>
        <v>368672</v>
      </c>
      <c r="S325" s="37" t="n">
        <f aca="false">'Assumptions &amp; Data'!Q459</f>
        <v>794500</v>
      </c>
      <c r="T325" s="37" t="n">
        <f aca="false">'Assumptions &amp; Data'!R459</f>
        <v>152417</v>
      </c>
      <c r="U325" s="37" t="n">
        <f aca="false">'Assumptions &amp; Data'!S459</f>
        <v>141124</v>
      </c>
      <c r="V325" s="39" t="n">
        <f aca="false">Q325-R325-S325-T325-U325</f>
        <v>-1157418.67513721</v>
      </c>
      <c r="W325" s="39" t="n">
        <f aca="false">DAY(EOMONTH(C325,0))</f>
        <v>31</v>
      </c>
      <c r="X325" s="40" t="n">
        <f aca="false">E325/W325</f>
        <v>246.903225806452</v>
      </c>
      <c r="Y325" s="39" t="n">
        <f aca="false">R325+S325+T325+U325</f>
        <v>1456713</v>
      </c>
    </row>
    <row r="326" customFormat="false" ht="15" hidden="false" customHeight="false" outlineLevel="0" collapsed="false">
      <c r="A326" s="37" t="str">
        <f aca="false">'Assumptions &amp; Data'!A460</f>
        <v>SM0256</v>
      </c>
      <c r="B326" s="37" t="str">
        <f aca="false">'Assumptions &amp; Data'!B460</f>
        <v>DS022</v>
      </c>
      <c r="C326" s="38" t="n">
        <f aca="false">'Assumptions &amp; Data'!C460</f>
        <v>46023</v>
      </c>
      <c r="D326" s="39" t="str">
        <f aca="false">INDEX('Assumptions &amp; Data'!$B$142:$B$201,MATCH(B326,'Assumptions &amp; Data'!$A$142:$A$201,0))</f>
        <v>Mumbai MMR</v>
      </c>
      <c r="E326" s="37" t="n">
        <f aca="false">'Assumptions &amp; Data'!D460</f>
        <v>9862</v>
      </c>
      <c r="F326" s="39" t="n">
        <f aca="false">E326*'Assumptions &amp; Data'!E460</f>
        <v>7529637</v>
      </c>
      <c r="G326" s="39" t="n">
        <f aca="false">F326*'Assumptions &amp; Data'!F460</f>
        <v>572252.412</v>
      </c>
      <c r="H326" s="39" t="n">
        <f aca="false">F326-G326</f>
        <v>6957384.588</v>
      </c>
      <c r="I326" s="39" t="n">
        <f aca="false">H326*'Assumptions &amp; Data'!G460</f>
        <v>1161883.226196</v>
      </c>
      <c r="J326" s="39" t="n">
        <f aca="false">E326*'Assumptions &amp; Data'!H460</f>
        <v>118146.76</v>
      </c>
      <c r="K326" s="39" t="n">
        <f aca="false">H326*'Assumptions &amp; Data'!I460</f>
        <v>128711.614878</v>
      </c>
      <c r="L326" s="39" t="n">
        <f aca="false">H326*'Assumptions &amp; Data'!J460</f>
        <v>246987.152874</v>
      </c>
      <c r="M326" s="39" t="n">
        <f aca="false">I326+J326+K326-L326</f>
        <v>1161754.4482</v>
      </c>
      <c r="N326" s="39" t="n">
        <f aca="false">E326*'Assumptions &amp; Data'!N460</f>
        <v>499707.54</v>
      </c>
      <c r="O326" s="39" t="n">
        <f aca="false">E326*'Assumptions &amp; Data'!O460</f>
        <v>108777.86</v>
      </c>
      <c r="P326" s="39" t="n">
        <f aca="false">H326*'Assumptions &amp; Data'!P460</f>
        <v>68878.1074212</v>
      </c>
      <c r="Q326" s="39" t="n">
        <f aca="false">M326-N326-O326-P326</f>
        <v>484390.9407788</v>
      </c>
      <c r="R326" s="39" t="n">
        <f aca="false">'Assumptions &amp; Data'!L460*'Assumptions &amp; Data'!M460</f>
        <v>369008</v>
      </c>
      <c r="S326" s="37" t="n">
        <f aca="false">'Assumptions &amp; Data'!Q460</f>
        <v>794500</v>
      </c>
      <c r="T326" s="37" t="n">
        <f aca="false">'Assumptions &amp; Data'!R460</f>
        <v>161660</v>
      </c>
      <c r="U326" s="37" t="n">
        <f aca="false">'Assumptions &amp; Data'!S460</f>
        <v>178834</v>
      </c>
      <c r="V326" s="39" t="n">
        <f aca="false">Q326-R326-S326-T326-U326</f>
        <v>-1019611.0592212</v>
      </c>
      <c r="W326" s="39" t="n">
        <f aca="false">DAY(EOMONTH(C326,0))</f>
        <v>31</v>
      </c>
      <c r="X326" s="40" t="n">
        <f aca="false">E326/W326</f>
        <v>318.129032258065</v>
      </c>
      <c r="Y326" s="39" t="n">
        <f aca="false">R326+S326+T326+U326</f>
        <v>1504002</v>
      </c>
    </row>
    <row r="327" customFormat="false" ht="15" hidden="false" customHeight="false" outlineLevel="0" collapsed="false">
      <c r="A327" s="37" t="str">
        <f aca="false">'Assumptions &amp; Data'!A461</f>
        <v>SM0257</v>
      </c>
      <c r="B327" s="37" t="str">
        <f aca="false">'Assumptions &amp; Data'!B461</f>
        <v>DS022</v>
      </c>
      <c r="C327" s="38" t="n">
        <f aca="false">'Assumptions &amp; Data'!C461</f>
        <v>46054</v>
      </c>
      <c r="D327" s="39" t="str">
        <f aca="false">INDEX('Assumptions &amp; Data'!$B$142:$B$201,MATCH(B327,'Assumptions &amp; Data'!$A$142:$A$201,0))</f>
        <v>Mumbai MMR</v>
      </c>
      <c r="E327" s="37" t="n">
        <f aca="false">'Assumptions &amp; Data'!D461</f>
        <v>10993</v>
      </c>
      <c r="F327" s="39" t="n">
        <f aca="false">E327*'Assumptions &amp; Data'!E461</f>
        <v>8098543.1</v>
      </c>
      <c r="G327" s="39" t="n">
        <f aca="false">F327*'Assumptions &amp; Data'!F461</f>
        <v>585524.66613</v>
      </c>
      <c r="H327" s="39" t="n">
        <f aca="false">F327-G327</f>
        <v>7513018.43387</v>
      </c>
      <c r="I327" s="39" t="n">
        <f aca="false">H327*'Assumptions &amp; Data'!G461</f>
        <v>1236642.834215</v>
      </c>
      <c r="J327" s="39" t="n">
        <f aca="false">E327*'Assumptions &amp; Data'!H461</f>
        <v>133784.81</v>
      </c>
      <c r="K327" s="39" t="n">
        <f aca="false">H327*'Assumptions &amp; Data'!I461</f>
        <v>160027.292641431</v>
      </c>
      <c r="L327" s="39" t="n">
        <f aca="false">H327*'Assumptions &amp; Data'!J461</f>
        <v>258447.834125128</v>
      </c>
      <c r="M327" s="39" t="n">
        <f aca="false">I327+J327+K327-L327</f>
        <v>1272007.10273131</v>
      </c>
      <c r="N327" s="39" t="n">
        <f aca="false">E327*'Assumptions &amp; Data'!N461</f>
        <v>560203.28</v>
      </c>
      <c r="O327" s="39" t="n">
        <f aca="false">E327*'Assumptions &amp; Data'!O461</f>
        <v>117295.31</v>
      </c>
      <c r="P327" s="39" t="n">
        <f aca="false">H327*'Assumptions &amp; Data'!P461</f>
        <v>75881.486182087</v>
      </c>
      <c r="Q327" s="39" t="n">
        <f aca="false">M327-N327-O327-P327</f>
        <v>518627.026549218</v>
      </c>
      <c r="R327" s="39" t="n">
        <f aca="false">'Assumptions &amp; Data'!L461*'Assumptions &amp; Data'!M461</f>
        <v>369344</v>
      </c>
      <c r="S327" s="37" t="n">
        <f aca="false">'Assumptions &amp; Data'!Q461</f>
        <v>794500</v>
      </c>
      <c r="T327" s="37" t="n">
        <f aca="false">'Assumptions &amp; Data'!R461</f>
        <v>158024</v>
      </c>
      <c r="U327" s="37" t="n">
        <f aca="false">'Assumptions &amp; Data'!S461</f>
        <v>179601</v>
      </c>
      <c r="V327" s="39" t="n">
        <f aca="false">Q327-R327-S327-T327-U327</f>
        <v>-982841.973450782</v>
      </c>
      <c r="W327" s="39" t="n">
        <f aca="false">DAY(EOMONTH(C327,0))</f>
        <v>28</v>
      </c>
      <c r="X327" s="40" t="n">
        <f aca="false">E327/W327</f>
        <v>392.607142857143</v>
      </c>
      <c r="Y327" s="39" t="n">
        <f aca="false">R327+S327+T327+U327</f>
        <v>1501469</v>
      </c>
    </row>
    <row r="328" customFormat="false" ht="15" hidden="false" customHeight="false" outlineLevel="0" collapsed="false">
      <c r="A328" s="37" t="str">
        <f aca="false">'Assumptions &amp; Data'!A462</f>
        <v>SM0258</v>
      </c>
      <c r="B328" s="37" t="str">
        <f aca="false">'Assumptions &amp; Data'!B462</f>
        <v>DS022</v>
      </c>
      <c r="C328" s="38" t="n">
        <f aca="false">'Assumptions &amp; Data'!C462</f>
        <v>46082</v>
      </c>
      <c r="D328" s="39" t="str">
        <f aca="false">INDEX('Assumptions &amp; Data'!$B$142:$B$201,MATCH(B328,'Assumptions &amp; Data'!$A$142:$A$201,0))</f>
        <v>Mumbai MMR</v>
      </c>
      <c r="E328" s="37" t="n">
        <f aca="false">'Assumptions &amp; Data'!D462</f>
        <v>14270</v>
      </c>
      <c r="F328" s="39" t="n">
        <f aca="false">E328*'Assumptions &amp; Data'!E462</f>
        <v>10535541</v>
      </c>
      <c r="G328" s="39" t="n">
        <f aca="false">F328*'Assumptions &amp; Data'!F462</f>
        <v>684810.165</v>
      </c>
      <c r="H328" s="39" t="n">
        <f aca="false">F328-G328</f>
        <v>9850730.835</v>
      </c>
      <c r="I328" s="39" t="n">
        <f aca="false">H328*'Assumptions &amp; Data'!G462</f>
        <v>1614534.7838565</v>
      </c>
      <c r="J328" s="39" t="n">
        <f aca="false">E328*'Assumptions &amp; Data'!H462</f>
        <v>187365.1</v>
      </c>
      <c r="K328" s="39" t="n">
        <f aca="false">H328*'Assumptions &amp; Data'!I462</f>
        <v>212775.786036</v>
      </c>
      <c r="L328" s="39" t="n">
        <f aca="false">H328*'Assumptions &amp; Data'!J462</f>
        <v>321133.825221</v>
      </c>
      <c r="M328" s="39" t="n">
        <f aca="false">I328+J328+K328-L328</f>
        <v>1693541.8446715</v>
      </c>
      <c r="N328" s="39" t="n">
        <f aca="false">E328*'Assumptions &amp; Data'!N462</f>
        <v>699943.5</v>
      </c>
      <c r="O328" s="39" t="n">
        <f aca="false">E328*'Assumptions &amp; Data'!O462</f>
        <v>152546.3</v>
      </c>
      <c r="P328" s="39" t="n">
        <f aca="false">H328*'Assumptions &amp; Data'!P462</f>
        <v>100477.454517</v>
      </c>
      <c r="Q328" s="39" t="n">
        <f aca="false">M328-N328-O328-P328</f>
        <v>740574.5901545</v>
      </c>
      <c r="R328" s="39" t="n">
        <f aca="false">'Assumptions &amp; Data'!L462*'Assumptions &amp; Data'!M462</f>
        <v>369680</v>
      </c>
      <c r="S328" s="37" t="n">
        <f aca="false">'Assumptions &amp; Data'!Q462</f>
        <v>794500</v>
      </c>
      <c r="T328" s="37" t="n">
        <f aca="false">'Assumptions &amp; Data'!R462</f>
        <v>149444</v>
      </c>
      <c r="U328" s="37" t="n">
        <f aca="false">'Assumptions &amp; Data'!S462</f>
        <v>198360</v>
      </c>
      <c r="V328" s="39" t="n">
        <f aca="false">Q328-R328-S328-T328-U328</f>
        <v>-771409.4098455</v>
      </c>
      <c r="W328" s="39" t="n">
        <f aca="false">DAY(EOMONTH(C328,0))</f>
        <v>31</v>
      </c>
      <c r="X328" s="40" t="n">
        <f aca="false">E328/W328</f>
        <v>460.322580645161</v>
      </c>
      <c r="Y328" s="39" t="n">
        <f aca="false">R328+S328+T328+U328</f>
        <v>1511984</v>
      </c>
    </row>
    <row r="329" customFormat="false" ht="15" hidden="false" customHeight="false" outlineLevel="0" collapsed="false">
      <c r="A329" s="37" t="str">
        <f aca="false">'Assumptions &amp; Data'!A463</f>
        <v>SM0259</v>
      </c>
      <c r="B329" s="37" t="str">
        <f aca="false">'Assumptions &amp; Data'!B463</f>
        <v>DS022</v>
      </c>
      <c r="C329" s="38" t="n">
        <f aca="false">'Assumptions &amp; Data'!C463</f>
        <v>46113</v>
      </c>
      <c r="D329" s="39" t="str">
        <f aca="false">INDEX('Assumptions &amp; Data'!$B$142:$B$201,MATCH(B329,'Assumptions &amp; Data'!$A$142:$A$201,0))</f>
        <v>Mumbai MMR</v>
      </c>
      <c r="E329" s="37" t="n">
        <f aca="false">'Assumptions &amp; Data'!D463</f>
        <v>15007</v>
      </c>
      <c r="F329" s="39" t="n">
        <f aca="false">E329*'Assumptions &amp; Data'!E463</f>
        <v>10874072.2</v>
      </c>
      <c r="G329" s="39" t="n">
        <f aca="false">F329*'Assumptions &amp; Data'!F463</f>
        <v>685066.5486</v>
      </c>
      <c r="H329" s="39" t="n">
        <f aca="false">F329-G329</f>
        <v>10189005.6514</v>
      </c>
      <c r="I329" s="39" t="n">
        <f aca="false">H329*'Assumptions &amp; Data'!G463</f>
        <v>1626165.30196344</v>
      </c>
      <c r="J329" s="39" t="n">
        <f aca="false">E329*'Assumptions &amp; Data'!H463</f>
        <v>193890.44</v>
      </c>
      <c r="K329" s="39" t="n">
        <f aca="false">H329*'Assumptions &amp; Data'!I463</f>
        <v>231290.42828678</v>
      </c>
      <c r="L329" s="39" t="n">
        <f aca="false">H329*'Assumptions &amp; Data'!J463</f>
        <v>316878.07575854</v>
      </c>
      <c r="M329" s="39" t="n">
        <f aca="false">I329+J329+K329-L329</f>
        <v>1734468.09449168</v>
      </c>
      <c r="N329" s="39" t="n">
        <f aca="false">E329*'Assumptions &amp; Data'!N463</f>
        <v>737744.12</v>
      </c>
      <c r="O329" s="39" t="n">
        <f aca="false">E329*'Assumptions &amp; Data'!O463</f>
        <v>160574.9</v>
      </c>
      <c r="P329" s="39" t="n">
        <f aca="false">H329*'Assumptions &amp; Data'!P463</f>
        <v>105965.65877456</v>
      </c>
      <c r="Q329" s="39" t="n">
        <f aca="false">M329-N329-O329-P329</f>
        <v>730183.41571712</v>
      </c>
      <c r="R329" s="39" t="n">
        <f aca="false">'Assumptions &amp; Data'!L463*'Assumptions &amp; Data'!M463</f>
        <v>370000</v>
      </c>
      <c r="S329" s="37" t="n">
        <f aca="false">'Assumptions &amp; Data'!Q463</f>
        <v>794500</v>
      </c>
      <c r="T329" s="37" t="n">
        <f aca="false">'Assumptions &amp; Data'!R463</f>
        <v>143489</v>
      </c>
      <c r="U329" s="37" t="n">
        <f aca="false">'Assumptions &amp; Data'!S463</f>
        <v>197901</v>
      </c>
      <c r="V329" s="39" t="n">
        <f aca="false">Q329-R329-S329-T329-U329</f>
        <v>-775706.58428288</v>
      </c>
      <c r="W329" s="39" t="n">
        <f aca="false">DAY(EOMONTH(C329,0))</f>
        <v>30</v>
      </c>
      <c r="X329" s="40" t="n">
        <f aca="false">E329/W329</f>
        <v>500.233333333333</v>
      </c>
      <c r="Y329" s="39" t="n">
        <f aca="false">R329+S329+T329+U329</f>
        <v>1505890</v>
      </c>
    </row>
    <row r="330" customFormat="false" ht="15" hidden="false" customHeight="false" outlineLevel="0" collapsed="false">
      <c r="A330" s="37" t="str">
        <f aca="false">'Assumptions &amp; Data'!A464</f>
        <v>SM0260</v>
      </c>
      <c r="B330" s="37" t="str">
        <f aca="false">'Assumptions &amp; Data'!B464</f>
        <v>DS022</v>
      </c>
      <c r="C330" s="38" t="n">
        <f aca="false">'Assumptions &amp; Data'!C464</f>
        <v>46143</v>
      </c>
      <c r="D330" s="39" t="str">
        <f aca="false">INDEX('Assumptions &amp; Data'!$B$142:$B$201,MATCH(B330,'Assumptions &amp; Data'!$A$142:$A$201,0))</f>
        <v>Mumbai MMR</v>
      </c>
      <c r="E330" s="37" t="n">
        <f aca="false">'Assumptions &amp; Data'!D464</f>
        <v>18258</v>
      </c>
      <c r="F330" s="39" t="n">
        <f aca="false">E330*'Assumptions &amp; Data'!E464</f>
        <v>13644203.4</v>
      </c>
      <c r="G330" s="39" t="n">
        <f aca="false">F330*'Assumptions &amp; Data'!F464</f>
        <v>869135.75658</v>
      </c>
      <c r="H330" s="39" t="n">
        <f aca="false">F330-G330</f>
        <v>12775067.64342</v>
      </c>
      <c r="I330" s="39" t="n">
        <f aca="false">H330*'Assumptions &amp; Data'!G464</f>
        <v>2084891.03940614</v>
      </c>
      <c r="J330" s="39" t="n">
        <f aca="false">E330*'Assumptions &amp; Data'!H464</f>
        <v>220556.64</v>
      </c>
      <c r="K330" s="39" t="n">
        <f aca="false">H330*'Assumptions &amp; Data'!I464</f>
        <v>286161.515212608</v>
      </c>
      <c r="L330" s="39" t="n">
        <f aca="false">H330*'Assumptions &amp; Data'!J464</f>
        <v>383252.0293026</v>
      </c>
      <c r="M330" s="39" t="n">
        <f aca="false">I330+J330+K330-L330</f>
        <v>2208357.16531615</v>
      </c>
      <c r="N330" s="39" t="n">
        <f aca="false">E330*'Assumptions &amp; Data'!N464</f>
        <v>852100.86</v>
      </c>
      <c r="O330" s="39" t="n">
        <f aca="false">E330*'Assumptions &amp; Data'!O464</f>
        <v>200290.26</v>
      </c>
      <c r="P330" s="39" t="n">
        <f aca="false">H330*'Assumptions &amp; Data'!P464</f>
        <v>125195.662905516</v>
      </c>
      <c r="Q330" s="39" t="n">
        <f aca="false">M330-N330-O330-P330</f>
        <v>1030770.38241064</v>
      </c>
      <c r="R330" s="39" t="n">
        <f aca="false">'Assumptions &amp; Data'!L464*'Assumptions &amp; Data'!M464</f>
        <v>416628</v>
      </c>
      <c r="S330" s="37" t="n">
        <f aca="false">'Assumptions &amp; Data'!Q464</f>
        <v>794500</v>
      </c>
      <c r="T330" s="37" t="n">
        <f aca="false">'Assumptions &amp; Data'!R464</f>
        <v>155028</v>
      </c>
      <c r="U330" s="37" t="n">
        <f aca="false">'Assumptions &amp; Data'!S464</f>
        <v>225906</v>
      </c>
      <c r="V330" s="39" t="n">
        <f aca="false">Q330-R330-S330-T330-U330</f>
        <v>-561291.617589364</v>
      </c>
      <c r="W330" s="39" t="n">
        <f aca="false">DAY(EOMONTH(C330,0))</f>
        <v>31</v>
      </c>
      <c r="X330" s="40" t="n">
        <f aca="false">E330/W330</f>
        <v>588.967741935484</v>
      </c>
      <c r="Y330" s="39" t="n">
        <f aca="false">R330+S330+T330+U330</f>
        <v>1592062</v>
      </c>
    </row>
    <row r="331" customFormat="false" ht="15" hidden="false" customHeight="false" outlineLevel="0" collapsed="false">
      <c r="A331" s="37" t="str">
        <f aca="false">'Assumptions &amp; Data'!A465</f>
        <v>SM0261</v>
      </c>
      <c r="B331" s="37" t="str">
        <f aca="false">'Assumptions &amp; Data'!B465</f>
        <v>DS022</v>
      </c>
      <c r="C331" s="38" t="n">
        <f aca="false">'Assumptions &amp; Data'!C465</f>
        <v>46174</v>
      </c>
      <c r="D331" s="39" t="str">
        <f aca="false">INDEX('Assumptions &amp; Data'!$B$142:$B$201,MATCH(B331,'Assumptions &amp; Data'!$A$142:$A$201,0))</f>
        <v>Mumbai MMR</v>
      </c>
      <c r="E331" s="37" t="n">
        <f aca="false">'Assumptions &amp; Data'!D465</f>
        <v>19270</v>
      </c>
      <c r="F331" s="39" t="n">
        <f aca="false">E331*'Assumptions &amp; Data'!E465</f>
        <v>14406252</v>
      </c>
      <c r="G331" s="39" t="n">
        <f aca="false">F331*'Assumptions &amp; Data'!F465</f>
        <v>911915.7516</v>
      </c>
      <c r="H331" s="39" t="n">
        <f aca="false">F331-G331</f>
        <v>13494336.2484</v>
      </c>
      <c r="I331" s="39" t="n">
        <f aca="false">H331*'Assumptions &amp; Data'!G465</f>
        <v>2176636.43686692</v>
      </c>
      <c r="J331" s="39" t="n">
        <f aca="false">E331*'Assumptions &amp; Data'!H465</f>
        <v>227771.4</v>
      </c>
      <c r="K331" s="39" t="n">
        <f aca="false">H331*'Assumptions &amp; Data'!I465</f>
        <v>336008.97258516</v>
      </c>
      <c r="L331" s="39" t="n">
        <f aca="false">H331*'Assumptions &amp; Data'!J465</f>
        <v>377841.4149552</v>
      </c>
      <c r="M331" s="39" t="n">
        <f aca="false">I331+J331+K331-L331</f>
        <v>2362575.39449688</v>
      </c>
      <c r="N331" s="39" t="n">
        <f aca="false">E331*'Assumptions &amp; Data'!N465</f>
        <v>919179</v>
      </c>
      <c r="O331" s="39" t="n">
        <f aca="false">E331*'Assumptions &amp; Data'!O465</f>
        <v>212548.1</v>
      </c>
      <c r="P331" s="39" t="n">
        <f aca="false">H331*'Assumptions &amp; Data'!P465</f>
        <v>130895.06160948</v>
      </c>
      <c r="Q331" s="39" t="n">
        <f aca="false">M331-N331-O331-P331</f>
        <v>1099953.2328874</v>
      </c>
      <c r="R331" s="39" t="n">
        <f aca="false">'Assumptions &amp; Data'!L465*'Assumptions &amp; Data'!M465</f>
        <v>463340</v>
      </c>
      <c r="S331" s="37" t="n">
        <f aca="false">'Assumptions &amp; Data'!Q465</f>
        <v>794500</v>
      </c>
      <c r="T331" s="37" t="n">
        <f aca="false">'Assumptions &amp; Data'!R465</f>
        <v>152732</v>
      </c>
      <c r="U331" s="37" t="n">
        <f aca="false">'Assumptions &amp; Data'!S465</f>
        <v>212109</v>
      </c>
      <c r="V331" s="39" t="n">
        <f aca="false">Q331-R331-S331-T331-U331</f>
        <v>-522727.767112601</v>
      </c>
      <c r="W331" s="39" t="n">
        <f aca="false">DAY(EOMONTH(C331,0))</f>
        <v>30</v>
      </c>
      <c r="X331" s="40" t="n">
        <f aca="false">E331/W331</f>
        <v>642.333333333333</v>
      </c>
      <c r="Y331" s="39" t="n">
        <f aca="false">R331+S331+T331+U331</f>
        <v>1622681</v>
      </c>
    </row>
    <row r="332" customFormat="false" ht="15" hidden="false" customHeight="false" outlineLevel="0" collapsed="false">
      <c r="A332" s="37" t="str">
        <f aca="false">'Assumptions &amp; Data'!A466</f>
        <v>SM0262</v>
      </c>
      <c r="B332" s="37" t="str">
        <f aca="false">'Assumptions &amp; Data'!B466</f>
        <v>DS022</v>
      </c>
      <c r="C332" s="38" t="n">
        <f aca="false">'Assumptions &amp; Data'!C466</f>
        <v>46204</v>
      </c>
      <c r="D332" s="39" t="str">
        <f aca="false">INDEX('Assumptions &amp; Data'!$B$142:$B$201,MATCH(B332,'Assumptions &amp; Data'!$A$142:$A$201,0))</f>
        <v>Mumbai MMR</v>
      </c>
      <c r="E332" s="37" t="n">
        <f aca="false">'Assumptions &amp; Data'!D466</f>
        <v>19988</v>
      </c>
      <c r="F332" s="39" t="n">
        <f aca="false">E332*'Assumptions &amp; Data'!E466</f>
        <v>14775129.6</v>
      </c>
      <c r="G332" s="39" t="n">
        <f aca="false">F332*'Assumptions &amp; Data'!F466</f>
        <v>955950.88512</v>
      </c>
      <c r="H332" s="39" t="n">
        <f aca="false">F332-G332</f>
        <v>13819178.71488</v>
      </c>
      <c r="I332" s="39" t="n">
        <f aca="false">H332*'Assumptions &amp; Data'!G466</f>
        <v>2273254.89859776</v>
      </c>
      <c r="J332" s="39" t="n">
        <f aca="false">E332*'Assumptions &amp; Data'!H466</f>
        <v>261243.16</v>
      </c>
      <c r="K332" s="39" t="n">
        <f aca="false">H332*'Assumptions &amp; Data'!I466</f>
        <v>327514.535542656</v>
      </c>
      <c r="L332" s="39" t="n">
        <f aca="false">H332*'Assumptions &amp; Data'!J466</f>
        <v>402138.100603008</v>
      </c>
      <c r="M332" s="39" t="n">
        <f aca="false">I332+J332+K332-L332</f>
        <v>2459874.49353741</v>
      </c>
      <c r="N332" s="39" t="n">
        <f aca="false">E332*'Assumptions &amp; Data'!N466</f>
        <v>928642.48</v>
      </c>
      <c r="O332" s="39" t="n">
        <f aca="false">E332*'Assumptions &amp; Data'!O466</f>
        <v>220267.76</v>
      </c>
      <c r="P332" s="39" t="n">
        <f aca="false">H332*'Assumptions &amp; Data'!P466</f>
        <v>135427.951405824</v>
      </c>
      <c r="Q332" s="39" t="n">
        <f aca="false">M332-N332-O332-P332</f>
        <v>1175536.30213158</v>
      </c>
      <c r="R332" s="39" t="n">
        <f aca="false">'Assumptions &amp; Data'!L466*'Assumptions &amp; Data'!M466</f>
        <v>440572</v>
      </c>
      <c r="S332" s="37" t="n">
        <f aca="false">'Assumptions &amp; Data'!Q466</f>
        <v>794500</v>
      </c>
      <c r="T332" s="37" t="n">
        <f aca="false">'Assumptions &amp; Data'!R466</f>
        <v>151168</v>
      </c>
      <c r="U332" s="37" t="n">
        <f aca="false">'Assumptions &amp; Data'!S466</f>
        <v>222508</v>
      </c>
      <c r="V332" s="39" t="n">
        <f aca="false">Q332-R332-S332-T332-U332</f>
        <v>-433211.697868416</v>
      </c>
      <c r="W332" s="39" t="n">
        <f aca="false">DAY(EOMONTH(C332,0))</f>
        <v>31</v>
      </c>
      <c r="X332" s="40" t="n">
        <f aca="false">E332/W332</f>
        <v>644.774193548387</v>
      </c>
      <c r="Y332" s="39" t="n">
        <f aca="false">R332+S332+T332+U332</f>
        <v>1608748</v>
      </c>
    </row>
    <row r="333" customFormat="false" ht="15" hidden="false" customHeight="false" outlineLevel="0" collapsed="false">
      <c r="A333" s="37" t="str">
        <f aca="false">'Assumptions &amp; Data'!A467</f>
        <v>SM0263</v>
      </c>
      <c r="B333" s="37" t="str">
        <f aca="false">'Assumptions &amp; Data'!B467</f>
        <v>DS022</v>
      </c>
      <c r="C333" s="38" t="n">
        <f aca="false">'Assumptions &amp; Data'!C467</f>
        <v>46235</v>
      </c>
      <c r="D333" s="39" t="str">
        <f aca="false">INDEX('Assumptions &amp; Data'!$B$142:$B$201,MATCH(B333,'Assumptions &amp; Data'!$A$142:$A$201,0))</f>
        <v>Mumbai MMR</v>
      </c>
      <c r="E333" s="37" t="n">
        <f aca="false">'Assumptions &amp; Data'!D467</f>
        <v>20307</v>
      </c>
      <c r="F333" s="39" t="n">
        <f aca="false">E333*'Assumptions &amp; Data'!E467</f>
        <v>15289140.3</v>
      </c>
      <c r="G333" s="39" t="n">
        <f aca="false">F333*'Assumptions &amp; Data'!F467</f>
        <v>955571.26875</v>
      </c>
      <c r="H333" s="39" t="n">
        <f aca="false">F333-G333</f>
        <v>14333569.03125</v>
      </c>
      <c r="I333" s="39" t="n">
        <f aca="false">H333*'Assumptions &amp; Data'!G467</f>
        <v>2310571.3278375</v>
      </c>
      <c r="J333" s="39" t="n">
        <f aca="false">E333*'Assumptions &amp; Data'!H467</f>
        <v>244902.42</v>
      </c>
      <c r="K333" s="39" t="n">
        <f aca="false">H333*'Assumptions &amp; Data'!I467</f>
        <v>344005.65675</v>
      </c>
      <c r="L333" s="39" t="n">
        <f aca="false">H333*'Assumptions &amp; Data'!J467</f>
        <v>422840.286421875</v>
      </c>
      <c r="M333" s="39" t="n">
        <f aca="false">I333+J333+K333-L333</f>
        <v>2476639.11816563</v>
      </c>
      <c r="N333" s="39" t="n">
        <f aca="false">E333*'Assumptions &amp; Data'!N467</f>
        <v>932497.44</v>
      </c>
      <c r="O333" s="39" t="n">
        <f aca="false">E333*'Assumptions &amp; Data'!O467</f>
        <v>230687.52</v>
      </c>
      <c r="P333" s="39" t="n">
        <f aca="false">H333*'Assumptions &amp; Data'!P467</f>
        <v>144769.047215625</v>
      </c>
      <c r="Q333" s="39" t="n">
        <f aca="false">M333-N333-O333-P333</f>
        <v>1168685.11095</v>
      </c>
      <c r="R333" s="39" t="n">
        <f aca="false">'Assumptions &amp; Data'!L467*'Assumptions &amp; Data'!M467</f>
        <v>440971</v>
      </c>
      <c r="S333" s="37" t="n">
        <f aca="false">'Assumptions &amp; Data'!Q467</f>
        <v>794500</v>
      </c>
      <c r="T333" s="37" t="n">
        <f aca="false">'Assumptions &amp; Data'!R467</f>
        <v>144797</v>
      </c>
      <c r="U333" s="37" t="n">
        <f aca="false">'Assumptions &amp; Data'!S467</f>
        <v>221478</v>
      </c>
      <c r="V333" s="39" t="n">
        <f aca="false">Q333-R333-S333-T333-U333</f>
        <v>-433060.88905</v>
      </c>
      <c r="W333" s="39" t="n">
        <f aca="false">DAY(EOMONTH(C333,0))</f>
        <v>31</v>
      </c>
      <c r="X333" s="40" t="n">
        <f aca="false">E333/W333</f>
        <v>655.064516129032</v>
      </c>
      <c r="Y333" s="39" t="n">
        <f aca="false">R333+S333+T333+U333</f>
        <v>1601746</v>
      </c>
    </row>
    <row r="334" customFormat="false" ht="15" hidden="false" customHeight="false" outlineLevel="0" collapsed="false">
      <c r="A334" s="37" t="str">
        <f aca="false">'Assumptions &amp; Data'!A468</f>
        <v>SM0264</v>
      </c>
      <c r="B334" s="37" t="str">
        <f aca="false">'Assumptions &amp; Data'!B468</f>
        <v>DS022</v>
      </c>
      <c r="C334" s="38" t="n">
        <f aca="false">'Assumptions &amp; Data'!C468</f>
        <v>46266</v>
      </c>
      <c r="D334" s="39" t="str">
        <f aca="false">INDEX('Assumptions &amp; Data'!$B$142:$B$201,MATCH(B334,'Assumptions &amp; Data'!$A$142:$A$201,0))</f>
        <v>Mumbai MMR</v>
      </c>
      <c r="E334" s="37" t="n">
        <f aca="false">'Assumptions &amp; Data'!D468</f>
        <v>22249</v>
      </c>
      <c r="F334" s="39" t="n">
        <f aca="false">E334*'Assumptions &amp; Data'!E468</f>
        <v>16535456.8</v>
      </c>
      <c r="G334" s="39" t="n">
        <f aca="false">F334*'Assumptions &amp; Data'!F468</f>
        <v>1002048.68208</v>
      </c>
      <c r="H334" s="39" t="n">
        <f aca="false">F334-G334</f>
        <v>15533408.11792</v>
      </c>
      <c r="I334" s="39" t="n">
        <f aca="false">H334*'Assumptions &amp; Data'!G468</f>
        <v>2541265.56809171</v>
      </c>
      <c r="J334" s="39" t="n">
        <f aca="false">E334*'Assumptions &amp; Data'!H468</f>
        <v>269435.39</v>
      </c>
      <c r="K334" s="39" t="n">
        <f aca="false">H334*'Assumptions &amp; Data'!I468</f>
        <v>361928.409147536</v>
      </c>
      <c r="L334" s="39" t="n">
        <f aca="false">H334*'Assumptions &amp; Data'!J468</f>
        <v>399208.588630544</v>
      </c>
      <c r="M334" s="39" t="n">
        <f aca="false">I334+J334+K334-L334</f>
        <v>2773420.7786087</v>
      </c>
      <c r="N334" s="39" t="n">
        <f aca="false">E334*'Assumptions &amp; Data'!N468</f>
        <v>1008324.68</v>
      </c>
      <c r="O334" s="39" t="n">
        <f aca="false">E334*'Assumptions &amp; Data'!O468</f>
        <v>246741.41</v>
      </c>
      <c r="P334" s="39" t="n">
        <f aca="false">H334*'Assumptions &amp; Data'!P468</f>
        <v>164654.126049952</v>
      </c>
      <c r="Q334" s="39" t="n">
        <f aca="false">M334-N334-O334-P334</f>
        <v>1353700.56255875</v>
      </c>
      <c r="R334" s="39" t="n">
        <f aca="false">'Assumptions &amp; Data'!L468*'Assumptions &amp; Data'!M468</f>
        <v>534290</v>
      </c>
      <c r="S334" s="37" t="n">
        <f aca="false">'Assumptions &amp; Data'!Q468</f>
        <v>794500</v>
      </c>
      <c r="T334" s="37" t="n">
        <f aca="false">'Assumptions &amp; Data'!R468</f>
        <v>148387</v>
      </c>
      <c r="U334" s="37" t="n">
        <f aca="false">'Assumptions &amp; Data'!S468</f>
        <v>207454</v>
      </c>
      <c r="V334" s="39" t="n">
        <f aca="false">Q334-R334-S334-T334-U334</f>
        <v>-330930.437441248</v>
      </c>
      <c r="W334" s="39" t="n">
        <f aca="false">DAY(EOMONTH(C334,0))</f>
        <v>30</v>
      </c>
      <c r="X334" s="40" t="n">
        <f aca="false">E334/W334</f>
        <v>741.633333333333</v>
      </c>
      <c r="Y334" s="39" t="n">
        <f aca="false">R334+S334+T334+U334</f>
        <v>1684631</v>
      </c>
    </row>
    <row r="335" customFormat="false" ht="15" hidden="false" customHeight="false" outlineLevel="0" collapsed="false">
      <c r="A335" s="37" t="str">
        <f aca="false">'Assumptions &amp; Data'!A469</f>
        <v>SM0265</v>
      </c>
      <c r="B335" s="37" t="str">
        <f aca="false">'Assumptions &amp; Data'!B469</f>
        <v>DS023</v>
      </c>
      <c r="C335" s="38" t="n">
        <f aca="false">'Assumptions &amp; Data'!C469</f>
        <v>45931</v>
      </c>
      <c r="D335" s="39" t="str">
        <f aca="false">INDEX('Assumptions &amp; Data'!$B$142:$B$201,MATCH(B335,'Assumptions &amp; Data'!$A$142:$A$201,0))</f>
        <v>Mumbai MMR</v>
      </c>
      <c r="E335" s="37" t="n">
        <f aca="false">'Assumptions &amp; Data'!D469</f>
        <v>17888</v>
      </c>
      <c r="F335" s="39" t="n">
        <f aca="false">E335*'Assumptions &amp; Data'!E469</f>
        <v>12221081.6</v>
      </c>
      <c r="G335" s="39" t="n">
        <f aca="false">F335*'Assumptions &amp; Data'!F469</f>
        <v>865252.57728</v>
      </c>
      <c r="H335" s="39" t="n">
        <f aca="false">F335-G335</f>
        <v>11355829.02272</v>
      </c>
      <c r="I335" s="39" t="n">
        <f aca="false">H335*'Assumptions &amp; Data'!G469</f>
        <v>1839644.30168064</v>
      </c>
      <c r="J335" s="39" t="n">
        <f aca="false">E335*'Assumptions &amp; Data'!H469</f>
        <v>240772.48</v>
      </c>
      <c r="K335" s="39" t="n">
        <f aca="false">H335*'Assumptions &amp; Data'!I469</f>
        <v>263455.233327104</v>
      </c>
      <c r="L335" s="39" t="n">
        <f aca="false">H335*'Assumptions &amp; Data'!J469</f>
        <v>313420.881027072</v>
      </c>
      <c r="M335" s="39" t="n">
        <f aca="false">I335+J335+K335-L335</f>
        <v>2030451.13398067</v>
      </c>
      <c r="N335" s="39" t="n">
        <f aca="false">E335*'Assumptions &amp; Data'!N469</f>
        <v>777233.6</v>
      </c>
      <c r="O335" s="39" t="n">
        <f aca="false">E335*'Assumptions &amp; Data'!O469</f>
        <v>196946.88</v>
      </c>
      <c r="P335" s="39" t="n">
        <f aca="false">H335*'Assumptions &amp; Data'!P469</f>
        <v>115829.456031744</v>
      </c>
      <c r="Q335" s="39" t="n">
        <f aca="false">M335-N335-O335-P335</f>
        <v>940441.197948928</v>
      </c>
      <c r="R335" s="39" t="n">
        <f aca="false">'Assumptions &amp; Data'!L469*'Assumptions &amp; Data'!M469</f>
        <v>368000</v>
      </c>
      <c r="S335" s="37" t="n">
        <f aca="false">'Assumptions &amp; Data'!Q469</f>
        <v>605500</v>
      </c>
      <c r="T335" s="37" t="n">
        <f aca="false">'Assumptions &amp; Data'!R469</f>
        <v>151263</v>
      </c>
      <c r="U335" s="37" t="n">
        <f aca="false">'Assumptions &amp; Data'!S469</f>
        <v>283784</v>
      </c>
      <c r="V335" s="39" t="n">
        <f aca="false">Q335-R335-S335-T335-U335</f>
        <v>-468105.802051072</v>
      </c>
      <c r="W335" s="39" t="n">
        <f aca="false">DAY(EOMONTH(C335,0))</f>
        <v>31</v>
      </c>
      <c r="X335" s="40" t="n">
        <f aca="false">E335/W335</f>
        <v>577.032258064516</v>
      </c>
      <c r="Y335" s="39" t="n">
        <f aca="false">R335+S335+T335+U335</f>
        <v>1408547</v>
      </c>
    </row>
    <row r="336" customFormat="false" ht="15" hidden="false" customHeight="false" outlineLevel="0" collapsed="false">
      <c r="A336" s="37" t="str">
        <f aca="false">'Assumptions &amp; Data'!A470</f>
        <v>SM0266</v>
      </c>
      <c r="B336" s="37" t="str">
        <f aca="false">'Assumptions &amp; Data'!B470</f>
        <v>DS023</v>
      </c>
      <c r="C336" s="38" t="n">
        <f aca="false">'Assumptions &amp; Data'!C470</f>
        <v>45962</v>
      </c>
      <c r="D336" s="39" t="str">
        <f aca="false">INDEX('Assumptions &amp; Data'!$B$142:$B$201,MATCH(B336,'Assumptions &amp; Data'!$A$142:$A$201,0))</f>
        <v>Mumbai MMR</v>
      </c>
      <c r="E336" s="37" t="n">
        <f aca="false">'Assumptions &amp; Data'!D470</f>
        <v>20211</v>
      </c>
      <c r="F336" s="39" t="n">
        <f aca="false">E336*'Assumptions &amp; Data'!E470</f>
        <v>14141636.7</v>
      </c>
      <c r="G336" s="39" t="n">
        <f aca="false">F336*'Assumptions &amp; Data'!F470</f>
        <v>933348.0222</v>
      </c>
      <c r="H336" s="39" t="n">
        <f aca="false">F336-G336</f>
        <v>13208288.6778</v>
      </c>
      <c r="I336" s="39" t="n">
        <f aca="false">H336*'Assumptions &amp; Data'!G470</f>
        <v>2205784.2091926</v>
      </c>
      <c r="J336" s="39" t="n">
        <f aca="false">E336*'Assumptions &amp; Data'!H470</f>
        <v>285177.21</v>
      </c>
      <c r="K336" s="39" t="n">
        <f aca="false">H336*'Assumptions &amp; Data'!I470</f>
        <v>314357.27053164</v>
      </c>
      <c r="L336" s="39" t="n">
        <f aca="false">H336*'Assumptions &amp; Data'!J470</f>
        <v>323603.0726061</v>
      </c>
      <c r="M336" s="39" t="n">
        <f aca="false">I336+J336+K336-L336</f>
        <v>2481715.61711814</v>
      </c>
      <c r="N336" s="39" t="n">
        <f aca="false">E336*'Assumptions &amp; Data'!N470</f>
        <v>834310.08</v>
      </c>
      <c r="O336" s="39" t="n">
        <f aca="false">E336*'Assumptions &amp; Data'!O470</f>
        <v>223129.44</v>
      </c>
      <c r="P336" s="39" t="n">
        <f aca="false">H336*'Assumptions &amp; Data'!P470</f>
        <v>134724.54451356</v>
      </c>
      <c r="Q336" s="39" t="n">
        <f aca="false">M336-N336-O336-P336</f>
        <v>1289551.55260458</v>
      </c>
      <c r="R336" s="39" t="n">
        <f aca="false">'Assumptions &amp; Data'!L470*'Assumptions &amp; Data'!M470</f>
        <v>368336</v>
      </c>
      <c r="S336" s="37" t="n">
        <f aca="false">'Assumptions &amp; Data'!Q470</f>
        <v>605500</v>
      </c>
      <c r="T336" s="37" t="n">
        <f aca="false">'Assumptions &amp; Data'!R470</f>
        <v>147599</v>
      </c>
      <c r="U336" s="37" t="n">
        <f aca="false">'Assumptions &amp; Data'!S470</f>
        <v>306641</v>
      </c>
      <c r="V336" s="39" t="n">
        <f aca="false">Q336-R336-S336-T336-U336</f>
        <v>-138524.44739542</v>
      </c>
      <c r="W336" s="39" t="n">
        <f aca="false">DAY(EOMONTH(C336,0))</f>
        <v>30</v>
      </c>
      <c r="X336" s="40" t="n">
        <f aca="false">E336/W336</f>
        <v>673.7</v>
      </c>
      <c r="Y336" s="39" t="n">
        <f aca="false">R336+S336+T336+U336</f>
        <v>1428076</v>
      </c>
    </row>
    <row r="337" customFormat="false" ht="15" hidden="false" customHeight="false" outlineLevel="0" collapsed="false">
      <c r="A337" s="37" t="str">
        <f aca="false">'Assumptions &amp; Data'!A471</f>
        <v>SM0267</v>
      </c>
      <c r="B337" s="37" t="str">
        <f aca="false">'Assumptions &amp; Data'!B471</f>
        <v>DS023</v>
      </c>
      <c r="C337" s="38" t="n">
        <f aca="false">'Assumptions &amp; Data'!C471</f>
        <v>45992</v>
      </c>
      <c r="D337" s="39" t="str">
        <f aca="false">INDEX('Assumptions &amp; Data'!$B$142:$B$201,MATCH(B337,'Assumptions &amp; Data'!$A$142:$A$201,0))</f>
        <v>Mumbai MMR</v>
      </c>
      <c r="E337" s="37" t="n">
        <f aca="false">'Assumptions &amp; Data'!D471</f>
        <v>24546</v>
      </c>
      <c r="F337" s="39" t="n">
        <f aca="false">E337*'Assumptions &amp; Data'!E471</f>
        <v>17466933.6</v>
      </c>
      <c r="G337" s="39" t="n">
        <f aca="false">F337*'Assumptions &amp; Data'!F471</f>
        <v>1154564.31096</v>
      </c>
      <c r="H337" s="39" t="n">
        <f aca="false">F337-G337</f>
        <v>16312369.28904</v>
      </c>
      <c r="I337" s="39" t="n">
        <f aca="false">H337*'Assumptions &amp; Data'!G471</f>
        <v>2740478.04055872</v>
      </c>
      <c r="J337" s="39" t="n">
        <f aca="false">E337*'Assumptions &amp; Data'!H471</f>
        <v>343153.08</v>
      </c>
      <c r="K337" s="39" t="n">
        <f aca="false">H337*'Assumptions &amp; Data'!I471</f>
        <v>417596.653799424</v>
      </c>
      <c r="L337" s="39" t="n">
        <f aca="false">H337*'Assumptions &amp; Data'!J471</f>
        <v>378446.967505728</v>
      </c>
      <c r="M337" s="39" t="n">
        <f aca="false">I337+J337+K337-L337</f>
        <v>3122780.80685242</v>
      </c>
      <c r="N337" s="39" t="n">
        <f aca="false">E337*'Assumptions &amp; Data'!N471</f>
        <v>982330.92</v>
      </c>
      <c r="O337" s="39" t="n">
        <f aca="false">E337*'Assumptions &amp; Data'!O471</f>
        <v>264851.34</v>
      </c>
      <c r="P337" s="39" t="n">
        <f aca="false">H337*'Assumptions &amp; Data'!P471</f>
        <v>163123.6928904</v>
      </c>
      <c r="Q337" s="39" t="n">
        <f aca="false">M337-N337-O337-P337</f>
        <v>1712474.85396202</v>
      </c>
      <c r="R337" s="39" t="n">
        <f aca="false">'Assumptions &amp; Data'!L471*'Assumptions &amp; Data'!M471</f>
        <v>414756</v>
      </c>
      <c r="S337" s="37" t="n">
        <f aca="false">'Assumptions &amp; Data'!Q471</f>
        <v>605500</v>
      </c>
      <c r="T337" s="37" t="n">
        <f aca="false">'Assumptions &amp; Data'!R471</f>
        <v>152773</v>
      </c>
      <c r="U337" s="37" t="n">
        <f aca="false">'Assumptions &amp; Data'!S471</f>
        <v>352524</v>
      </c>
      <c r="V337" s="39" t="n">
        <f aca="false">Q337-R337-S337-T337-U337</f>
        <v>186921.853962017</v>
      </c>
      <c r="W337" s="39" t="n">
        <f aca="false">DAY(EOMONTH(C337,0))</f>
        <v>31</v>
      </c>
      <c r="X337" s="40" t="n">
        <f aca="false">E337/W337</f>
        <v>791.806451612903</v>
      </c>
      <c r="Y337" s="39" t="n">
        <f aca="false">R337+S337+T337+U337</f>
        <v>1525553</v>
      </c>
    </row>
    <row r="338" customFormat="false" ht="15" hidden="false" customHeight="false" outlineLevel="0" collapsed="false">
      <c r="A338" s="37" t="str">
        <f aca="false">'Assumptions &amp; Data'!A472</f>
        <v>SM0268</v>
      </c>
      <c r="B338" s="37" t="str">
        <f aca="false">'Assumptions &amp; Data'!B472</f>
        <v>DS023</v>
      </c>
      <c r="C338" s="38" t="n">
        <f aca="false">'Assumptions &amp; Data'!C472</f>
        <v>46023</v>
      </c>
      <c r="D338" s="39" t="str">
        <f aca="false">INDEX('Assumptions &amp; Data'!$B$142:$B$201,MATCH(B338,'Assumptions &amp; Data'!$A$142:$A$201,0))</f>
        <v>Mumbai MMR</v>
      </c>
      <c r="E338" s="37" t="n">
        <f aca="false">'Assumptions &amp; Data'!D472</f>
        <v>24395</v>
      </c>
      <c r="F338" s="39" t="n">
        <f aca="false">E338*'Assumptions &amp; Data'!E472</f>
        <v>17164322</v>
      </c>
      <c r="G338" s="39" t="n">
        <f aca="false">F338*'Assumptions &amp; Data'!F472</f>
        <v>1072770.125</v>
      </c>
      <c r="H338" s="39" t="n">
        <f aca="false">F338-G338</f>
        <v>16091551.875</v>
      </c>
      <c r="I338" s="39" t="n">
        <f aca="false">H338*'Assumptions &amp; Data'!G472</f>
        <v>2653496.9041875</v>
      </c>
      <c r="J338" s="39" t="n">
        <f aca="false">E338*'Assumptions &amp; Data'!H472</f>
        <v>354947.25</v>
      </c>
      <c r="K338" s="39" t="n">
        <f aca="false">H338*'Assumptions &amp; Data'!I472</f>
        <v>410334.5728125</v>
      </c>
      <c r="L338" s="39" t="n">
        <f aca="false">H338*'Assumptions &amp; Data'!J472</f>
        <v>358841.6068125</v>
      </c>
      <c r="M338" s="39" t="n">
        <f aca="false">I338+J338+K338-L338</f>
        <v>3059937.1201875</v>
      </c>
      <c r="N338" s="39" t="n">
        <f aca="false">E338*'Assumptions &amp; Data'!N472</f>
        <v>999707.1</v>
      </c>
      <c r="O338" s="39" t="n">
        <f aca="false">E338*'Assumptions &amp; Data'!O472</f>
        <v>272004.25</v>
      </c>
      <c r="P338" s="39" t="n">
        <f aca="false">H338*'Assumptions &amp; Data'!P472</f>
        <v>157697.208375</v>
      </c>
      <c r="Q338" s="39" t="n">
        <f aca="false">M338-N338-O338-P338</f>
        <v>1630528.5618125</v>
      </c>
      <c r="R338" s="39" t="n">
        <f aca="false">'Assumptions &amp; Data'!L472*'Assumptions &amp; Data'!M472</f>
        <v>415134</v>
      </c>
      <c r="S338" s="37" t="n">
        <f aca="false">'Assumptions &amp; Data'!Q472</f>
        <v>605500</v>
      </c>
      <c r="T338" s="37" t="n">
        <f aca="false">'Assumptions &amp; Data'!R472</f>
        <v>149677</v>
      </c>
      <c r="U338" s="37" t="n">
        <f aca="false">'Assumptions &amp; Data'!S472</f>
        <v>308867</v>
      </c>
      <c r="V338" s="39" t="n">
        <f aca="false">Q338-R338-S338-T338-U338</f>
        <v>151350.5618125</v>
      </c>
      <c r="W338" s="39" t="n">
        <f aca="false">DAY(EOMONTH(C338,0))</f>
        <v>31</v>
      </c>
      <c r="X338" s="40" t="n">
        <f aca="false">E338/W338</f>
        <v>786.935483870968</v>
      </c>
      <c r="Y338" s="39" t="n">
        <f aca="false">R338+S338+T338+U338</f>
        <v>1479178</v>
      </c>
    </row>
    <row r="339" customFormat="false" ht="15" hidden="false" customHeight="false" outlineLevel="0" collapsed="false">
      <c r="A339" s="37" t="str">
        <f aca="false">'Assumptions &amp; Data'!A473</f>
        <v>SM0269</v>
      </c>
      <c r="B339" s="37" t="str">
        <f aca="false">'Assumptions &amp; Data'!B473</f>
        <v>DS023</v>
      </c>
      <c r="C339" s="38" t="n">
        <f aca="false">'Assumptions &amp; Data'!C473</f>
        <v>46054</v>
      </c>
      <c r="D339" s="39" t="str">
        <f aca="false">INDEX('Assumptions &amp; Data'!$B$142:$B$201,MATCH(B339,'Assumptions &amp; Data'!$A$142:$A$201,0))</f>
        <v>Mumbai MMR</v>
      </c>
      <c r="E339" s="37" t="n">
        <f aca="false">'Assumptions &amp; Data'!D473</f>
        <v>23645</v>
      </c>
      <c r="F339" s="39" t="n">
        <f aca="false">E339*'Assumptions &amp; Data'!E473</f>
        <v>16854156</v>
      </c>
      <c r="G339" s="39" t="n">
        <f aca="false">F339*'Assumptions &amp; Data'!F473</f>
        <v>1051699.3344</v>
      </c>
      <c r="H339" s="39" t="n">
        <f aca="false">F339-G339</f>
        <v>15802456.6656</v>
      </c>
      <c r="I339" s="39" t="n">
        <f aca="false">H339*'Assumptions &amp; Data'!G473</f>
        <v>2650071.98282112</v>
      </c>
      <c r="J339" s="39" t="n">
        <f aca="false">E339*'Assumptions &amp; Data'!H473</f>
        <v>333867.4</v>
      </c>
      <c r="K339" s="39" t="n">
        <f aca="false">H339*'Assumptions &amp; Data'!I473</f>
        <v>414024.36463872</v>
      </c>
      <c r="L339" s="39" t="n">
        <f aca="false">H339*'Assumptions &amp; Data'!J473</f>
        <v>352394.78364288</v>
      </c>
      <c r="M339" s="39" t="n">
        <f aca="false">I339+J339+K339-L339</f>
        <v>3045568.96381696</v>
      </c>
      <c r="N339" s="39" t="n">
        <f aca="false">E339*'Assumptions &amp; Data'!N473</f>
        <v>944617.75</v>
      </c>
      <c r="O339" s="39" t="n">
        <f aca="false">E339*'Assumptions &amp; Data'!O473</f>
        <v>256075.35</v>
      </c>
      <c r="P339" s="39" t="n">
        <f aca="false">H339*'Assumptions &amp; Data'!P473</f>
        <v>158024.566656</v>
      </c>
      <c r="Q339" s="39" t="n">
        <f aca="false">M339-N339-O339-P339</f>
        <v>1686851.29716096</v>
      </c>
      <c r="R339" s="39" t="n">
        <f aca="false">'Assumptions &amp; Data'!L473*'Assumptions &amp; Data'!M473</f>
        <v>438596</v>
      </c>
      <c r="S339" s="37" t="n">
        <f aca="false">'Assumptions &amp; Data'!Q473</f>
        <v>605500</v>
      </c>
      <c r="T339" s="37" t="n">
        <f aca="false">'Assumptions &amp; Data'!R473</f>
        <v>139359</v>
      </c>
      <c r="U339" s="37" t="n">
        <f aca="false">'Assumptions &amp; Data'!S473</f>
        <v>259937</v>
      </c>
      <c r="V339" s="39" t="n">
        <f aca="false">Q339-R339-S339-T339-U339</f>
        <v>243459.29716096</v>
      </c>
      <c r="W339" s="39" t="n">
        <f aca="false">DAY(EOMONTH(C339,0))</f>
        <v>28</v>
      </c>
      <c r="X339" s="40" t="n">
        <f aca="false">E339/W339</f>
        <v>844.464285714286</v>
      </c>
      <c r="Y339" s="39" t="n">
        <f aca="false">R339+S339+T339+U339</f>
        <v>1443392</v>
      </c>
    </row>
    <row r="340" customFormat="false" ht="15" hidden="false" customHeight="false" outlineLevel="0" collapsed="false">
      <c r="A340" s="37" t="str">
        <f aca="false">'Assumptions &amp; Data'!A474</f>
        <v>SM0270</v>
      </c>
      <c r="B340" s="37" t="str">
        <f aca="false">'Assumptions &amp; Data'!B474</f>
        <v>DS023</v>
      </c>
      <c r="C340" s="38" t="n">
        <f aca="false">'Assumptions &amp; Data'!C474</f>
        <v>46082</v>
      </c>
      <c r="D340" s="39" t="str">
        <f aca="false">INDEX('Assumptions &amp; Data'!$B$142:$B$201,MATCH(B340,'Assumptions &amp; Data'!$A$142:$A$201,0))</f>
        <v>Mumbai MMR</v>
      </c>
      <c r="E340" s="37" t="n">
        <f aca="false">'Assumptions &amp; Data'!D474</f>
        <v>32307</v>
      </c>
      <c r="F340" s="39" t="n">
        <f aca="false">E340*'Assumptions &amp; Data'!E474</f>
        <v>22094757.3</v>
      </c>
      <c r="G340" s="39" t="n">
        <f aca="false">F340*'Assumptions &amp; Data'!F474</f>
        <v>1279286.44767</v>
      </c>
      <c r="H340" s="39" t="n">
        <f aca="false">F340-G340</f>
        <v>20815470.85233</v>
      </c>
      <c r="I340" s="39" t="n">
        <f aca="false">H340*'Assumptions &amp; Data'!G474</f>
        <v>3457449.70857201</v>
      </c>
      <c r="J340" s="39" t="n">
        <f aca="false">E340*'Assumptions &amp; Data'!H474</f>
        <v>460051.68</v>
      </c>
      <c r="K340" s="39" t="n">
        <f aca="false">H340*'Assumptions &amp; Data'!I474</f>
        <v>601567.107632337</v>
      </c>
      <c r="L340" s="39" t="n">
        <f aca="false">H340*'Assumptions &amp; Data'!J474</f>
        <v>445451.076239862</v>
      </c>
      <c r="M340" s="39" t="n">
        <f aca="false">I340+J340+K340-L340</f>
        <v>4073617.41996449</v>
      </c>
      <c r="N340" s="39" t="n">
        <f aca="false">E340*'Assumptions &amp; Data'!N474</f>
        <v>1206020.31</v>
      </c>
      <c r="O340" s="39" t="n">
        <f aca="false">E340*'Assumptions &amp; Data'!O474</f>
        <v>352469.37</v>
      </c>
      <c r="P340" s="39" t="n">
        <f aca="false">H340*'Assumptions &amp; Data'!P474</f>
        <v>222725.538119931</v>
      </c>
      <c r="Q340" s="39" t="n">
        <f aca="false">M340-N340-O340-P340</f>
        <v>2292402.20184456</v>
      </c>
      <c r="R340" s="39" t="n">
        <f aca="false">'Assumptions &amp; Data'!L474*'Assumptions &amp; Data'!M474</f>
        <v>554520</v>
      </c>
      <c r="S340" s="37" t="n">
        <f aca="false">'Assumptions &amp; Data'!Q474</f>
        <v>605500</v>
      </c>
      <c r="T340" s="37" t="n">
        <f aca="false">'Assumptions &amp; Data'!R474</f>
        <v>144975</v>
      </c>
      <c r="U340" s="37" t="n">
        <f aca="false">'Assumptions &amp; Data'!S474</f>
        <v>335856</v>
      </c>
      <c r="V340" s="39" t="n">
        <f aca="false">Q340-R340-S340-T340-U340</f>
        <v>651551.201844557</v>
      </c>
      <c r="W340" s="39" t="n">
        <f aca="false">DAY(EOMONTH(C340,0))</f>
        <v>31</v>
      </c>
      <c r="X340" s="40" t="n">
        <f aca="false">E340/W340</f>
        <v>1042.16129032258</v>
      </c>
      <c r="Y340" s="39" t="n">
        <f aca="false">R340+S340+T340+U340</f>
        <v>1640851</v>
      </c>
    </row>
    <row r="341" customFormat="false" ht="15" hidden="false" customHeight="false" outlineLevel="0" collapsed="false">
      <c r="A341" s="37" t="str">
        <f aca="false">'Assumptions &amp; Data'!A475</f>
        <v>SM0271</v>
      </c>
      <c r="B341" s="37" t="str">
        <f aca="false">'Assumptions &amp; Data'!B475</f>
        <v>DS023</v>
      </c>
      <c r="C341" s="38" t="n">
        <f aca="false">'Assumptions &amp; Data'!C475</f>
        <v>46113</v>
      </c>
      <c r="D341" s="39" t="str">
        <f aca="false">INDEX('Assumptions &amp; Data'!$B$142:$B$201,MATCH(B341,'Assumptions &amp; Data'!$A$142:$A$201,0))</f>
        <v>Mumbai MMR</v>
      </c>
      <c r="E341" s="37" t="n">
        <f aca="false">'Assumptions &amp; Data'!D475</f>
        <v>34568</v>
      </c>
      <c r="F341" s="39" t="n">
        <f aca="false">E341*'Assumptions &amp; Data'!E475</f>
        <v>24270192.8</v>
      </c>
      <c r="G341" s="39" t="n">
        <f aca="false">F341*'Assumptions &amp; Data'!F475</f>
        <v>1470773.68368</v>
      </c>
      <c r="H341" s="39" t="n">
        <f aca="false">F341-G341</f>
        <v>22799419.11632</v>
      </c>
      <c r="I341" s="39" t="n">
        <f aca="false">H341*'Assumptions &amp; Data'!G475</f>
        <v>3768743.9799277</v>
      </c>
      <c r="J341" s="39" t="n">
        <f aca="false">E341*'Assumptions &amp; Data'!H475</f>
        <v>488100.16</v>
      </c>
      <c r="K341" s="39" t="n">
        <f aca="false">H341*'Assumptions &amp; Data'!I475</f>
        <v>652063.386726752</v>
      </c>
      <c r="L341" s="39" t="n">
        <f aca="false">H341*'Assumptions &amp; Data'!J475</f>
        <v>465108.149972928</v>
      </c>
      <c r="M341" s="39" t="n">
        <f aca="false">I341+J341+K341-L341</f>
        <v>4443799.37668152</v>
      </c>
      <c r="N341" s="39" t="n">
        <f aca="false">E341*'Assumptions &amp; Data'!N475</f>
        <v>1295262.96</v>
      </c>
      <c r="O341" s="39" t="n">
        <f aca="false">E341*'Assumptions &amp; Data'!O475</f>
        <v>358124.48</v>
      </c>
      <c r="P341" s="39" t="n">
        <f aca="false">H341*'Assumptions &amp; Data'!P475</f>
        <v>225714.249251568</v>
      </c>
      <c r="Q341" s="39" t="n">
        <f aca="false">M341-N341-O341-P341</f>
        <v>2564697.68742995</v>
      </c>
      <c r="R341" s="39" t="n">
        <f aca="false">'Assumptions &amp; Data'!L475*'Assumptions &amp; Data'!M475</f>
        <v>624375</v>
      </c>
      <c r="S341" s="37" t="n">
        <f aca="false">'Assumptions &amp; Data'!Q475</f>
        <v>605500</v>
      </c>
      <c r="T341" s="37" t="n">
        <f aca="false">'Assumptions &amp; Data'!R475</f>
        <v>155699</v>
      </c>
      <c r="U341" s="37" t="n">
        <f aca="false">'Assumptions &amp; Data'!S475</f>
        <v>382401</v>
      </c>
      <c r="V341" s="39" t="n">
        <f aca="false">Q341-R341-S341-T341-U341</f>
        <v>796722.687429952</v>
      </c>
      <c r="W341" s="39" t="n">
        <f aca="false">DAY(EOMONTH(C341,0))</f>
        <v>30</v>
      </c>
      <c r="X341" s="40" t="n">
        <f aca="false">E341/W341</f>
        <v>1152.26666666667</v>
      </c>
      <c r="Y341" s="39" t="n">
        <f aca="false">R341+S341+T341+U341</f>
        <v>1767975</v>
      </c>
    </row>
    <row r="342" customFormat="false" ht="15" hidden="false" customHeight="false" outlineLevel="0" collapsed="false">
      <c r="A342" s="37" t="str">
        <f aca="false">'Assumptions &amp; Data'!A476</f>
        <v>SM0272</v>
      </c>
      <c r="B342" s="37" t="str">
        <f aca="false">'Assumptions &amp; Data'!B476</f>
        <v>DS023</v>
      </c>
      <c r="C342" s="38" t="n">
        <f aca="false">'Assumptions &amp; Data'!C476</f>
        <v>46143</v>
      </c>
      <c r="D342" s="39" t="str">
        <f aca="false">INDEX('Assumptions &amp; Data'!$B$142:$B$201,MATCH(B342,'Assumptions &amp; Data'!$A$142:$A$201,0))</f>
        <v>Mumbai MMR</v>
      </c>
      <c r="E342" s="37" t="n">
        <f aca="false">'Assumptions &amp; Data'!D476</f>
        <v>39219</v>
      </c>
      <c r="F342" s="39" t="n">
        <f aca="false">E342*'Assumptions &amp; Data'!E476</f>
        <v>26649310.5</v>
      </c>
      <c r="G342" s="39" t="n">
        <f aca="false">F342*'Assumptions &amp; Data'!F476</f>
        <v>1585633.97475</v>
      </c>
      <c r="H342" s="39" t="n">
        <f aca="false">F342-G342</f>
        <v>25063676.52525</v>
      </c>
      <c r="I342" s="39" t="n">
        <f aca="false">H342*'Assumptions &amp; Data'!G476</f>
        <v>4138012.99431878</v>
      </c>
      <c r="J342" s="39" t="n">
        <f aca="false">E342*'Assumptions &amp; Data'!H476</f>
        <v>535339.35</v>
      </c>
      <c r="K342" s="39" t="n">
        <f aca="false">H342*'Assumptions &amp; Data'!I476</f>
        <v>716821.14862215</v>
      </c>
      <c r="L342" s="39" t="n">
        <f aca="false">H342*'Assumptions &amp; Data'!J476</f>
        <v>523830.839377725</v>
      </c>
      <c r="M342" s="39" t="n">
        <f aca="false">I342+J342+K342-L342</f>
        <v>4866342.6535632</v>
      </c>
      <c r="N342" s="39" t="n">
        <f aca="false">E342*'Assumptions &amp; Data'!N476</f>
        <v>1467574.98</v>
      </c>
      <c r="O342" s="39" t="n">
        <f aca="false">E342*'Assumptions &amp; Data'!O476</f>
        <v>424741.77</v>
      </c>
      <c r="P342" s="39" t="n">
        <f aca="false">H342*'Assumptions &amp; Data'!P476</f>
        <v>253143.132905025</v>
      </c>
      <c r="Q342" s="39" t="n">
        <f aca="false">M342-N342-O342-P342</f>
        <v>2720882.77065817</v>
      </c>
      <c r="R342" s="39" t="n">
        <f aca="false">'Assumptions &amp; Data'!L476*'Assumptions &amp; Data'!M476</f>
        <v>648088</v>
      </c>
      <c r="S342" s="37" t="n">
        <f aca="false">'Assumptions &amp; Data'!Q476</f>
        <v>605500</v>
      </c>
      <c r="T342" s="37" t="n">
        <f aca="false">'Assumptions &amp; Data'!R476</f>
        <v>153806</v>
      </c>
      <c r="U342" s="37" t="n">
        <f aca="false">'Assumptions &amp; Data'!S476</f>
        <v>387839</v>
      </c>
      <c r="V342" s="39" t="n">
        <f aca="false">Q342-R342-S342-T342-U342</f>
        <v>925649.770658175</v>
      </c>
      <c r="W342" s="39" t="n">
        <f aca="false">DAY(EOMONTH(C342,0))</f>
        <v>31</v>
      </c>
      <c r="X342" s="40" t="n">
        <f aca="false">E342/W342</f>
        <v>1265.12903225806</v>
      </c>
      <c r="Y342" s="39" t="n">
        <f aca="false">R342+S342+T342+U342</f>
        <v>1795233</v>
      </c>
    </row>
    <row r="343" customFormat="false" ht="15" hidden="false" customHeight="false" outlineLevel="0" collapsed="false">
      <c r="A343" s="37" t="str">
        <f aca="false">'Assumptions &amp; Data'!A477</f>
        <v>SM0273</v>
      </c>
      <c r="B343" s="37" t="str">
        <f aca="false">'Assumptions &amp; Data'!B477</f>
        <v>DS023</v>
      </c>
      <c r="C343" s="38" t="n">
        <f aca="false">'Assumptions &amp; Data'!C477</f>
        <v>46174</v>
      </c>
      <c r="D343" s="39" t="str">
        <f aca="false">INDEX('Assumptions &amp; Data'!$B$142:$B$201,MATCH(B343,'Assumptions &amp; Data'!$A$142:$A$201,0))</f>
        <v>Mumbai MMR</v>
      </c>
      <c r="E343" s="37" t="n">
        <f aca="false">'Assumptions &amp; Data'!D477</f>
        <v>36218</v>
      </c>
      <c r="F343" s="39" t="n">
        <f aca="false">E343*'Assumptions &amp; Data'!E477</f>
        <v>25765485.2</v>
      </c>
      <c r="G343" s="39" t="n">
        <f aca="false">F343*'Assumptions &amp; Data'!F477</f>
        <v>1520163.6268</v>
      </c>
      <c r="H343" s="39" t="n">
        <f aca="false">F343-G343</f>
        <v>24245321.5732</v>
      </c>
      <c r="I343" s="39" t="n">
        <f aca="false">H343*'Assumptions &amp; Data'!G477</f>
        <v>4051393.23488172</v>
      </c>
      <c r="J343" s="39" t="n">
        <f aca="false">E343*'Assumptions &amp; Data'!H477</f>
        <v>510673.8</v>
      </c>
      <c r="K343" s="39" t="n">
        <f aca="false">H343*'Assumptions &amp; Data'!I477</f>
        <v>720086.05072404</v>
      </c>
      <c r="L343" s="39" t="n">
        <f aca="false">H343*'Assumptions &amp; Data'!J477</f>
        <v>504302.68872256</v>
      </c>
      <c r="M343" s="39" t="n">
        <f aca="false">I343+J343+K343-L343</f>
        <v>4777850.3968832</v>
      </c>
      <c r="N343" s="39" t="n">
        <f aca="false">E343*'Assumptions &amp; Data'!N477</f>
        <v>1351293.58</v>
      </c>
      <c r="O343" s="39" t="n">
        <f aca="false">E343*'Assumptions &amp; Data'!O477</f>
        <v>408901.22</v>
      </c>
      <c r="P343" s="39" t="n">
        <f aca="false">H343*'Assumptions &amp; Data'!P477</f>
        <v>249726.81220396</v>
      </c>
      <c r="Q343" s="39" t="n">
        <f aca="false">M343-N343-O343-P343</f>
        <v>2767928.78467924</v>
      </c>
      <c r="R343" s="39" t="n">
        <f aca="false">'Assumptions &amp; Data'!L477*'Assumptions &amp; Data'!M477</f>
        <v>602342</v>
      </c>
      <c r="S343" s="37" t="n">
        <f aca="false">'Assumptions &amp; Data'!Q477</f>
        <v>605500</v>
      </c>
      <c r="T343" s="37" t="n">
        <f aca="false">'Assumptions &amp; Data'!R477</f>
        <v>147820</v>
      </c>
      <c r="U343" s="37" t="n">
        <f aca="false">'Assumptions &amp; Data'!S477</f>
        <v>338976</v>
      </c>
      <c r="V343" s="39" t="n">
        <f aca="false">Q343-R343-S343-T343-U343</f>
        <v>1073290.78467924</v>
      </c>
      <c r="W343" s="39" t="n">
        <f aca="false">DAY(EOMONTH(C343,0))</f>
        <v>30</v>
      </c>
      <c r="X343" s="40" t="n">
        <f aca="false">E343/W343</f>
        <v>1207.26666666667</v>
      </c>
      <c r="Y343" s="39" t="n">
        <f aca="false">R343+S343+T343+U343</f>
        <v>1694638</v>
      </c>
    </row>
    <row r="344" customFormat="false" ht="15" hidden="false" customHeight="false" outlineLevel="0" collapsed="false">
      <c r="A344" s="37" t="str">
        <f aca="false">'Assumptions &amp; Data'!A478</f>
        <v>SM0274</v>
      </c>
      <c r="B344" s="37" t="str">
        <f aca="false">'Assumptions &amp; Data'!B478</f>
        <v>DS023</v>
      </c>
      <c r="C344" s="38" t="n">
        <f aca="false">'Assumptions &amp; Data'!C478</f>
        <v>46204</v>
      </c>
      <c r="D344" s="39" t="str">
        <f aca="false">INDEX('Assumptions &amp; Data'!$B$142:$B$201,MATCH(B344,'Assumptions &amp; Data'!$A$142:$A$201,0))</f>
        <v>Mumbai MMR</v>
      </c>
      <c r="E344" s="37" t="n">
        <f aca="false">'Assumptions &amp; Data'!D478</f>
        <v>37625</v>
      </c>
      <c r="F344" s="39" t="n">
        <f aca="false">E344*'Assumptions &amp; Data'!E478</f>
        <v>25931150</v>
      </c>
      <c r="G344" s="39" t="n">
        <f aca="false">F344*'Assumptions &amp; Data'!F478</f>
        <v>1439178.825</v>
      </c>
      <c r="H344" s="39" t="n">
        <f aca="false">F344-G344</f>
        <v>24491971.175</v>
      </c>
      <c r="I344" s="39" t="n">
        <f aca="false">H344*'Assumptions &amp; Data'!G478</f>
        <v>4050972.032345</v>
      </c>
      <c r="J344" s="39" t="n">
        <f aca="false">E344*'Assumptions &amp; Data'!H478</f>
        <v>522611.25</v>
      </c>
      <c r="K344" s="39" t="n">
        <f aca="false">H344*'Assumptions &amp; Data'!I478</f>
        <v>737208.3323675</v>
      </c>
      <c r="L344" s="39" t="n">
        <f aca="false">H344*'Assumptions &amp; Data'!J478</f>
        <v>502085.4090875</v>
      </c>
      <c r="M344" s="39" t="n">
        <f aca="false">I344+J344+K344-L344</f>
        <v>4808706.205625</v>
      </c>
      <c r="N344" s="39" t="n">
        <f aca="false">E344*'Assumptions &amp; Data'!N478</f>
        <v>1428245</v>
      </c>
      <c r="O344" s="39" t="n">
        <f aca="false">E344*'Assumptions &amp; Data'!O478</f>
        <v>398825</v>
      </c>
      <c r="P344" s="39" t="n">
        <f aca="false">H344*'Assumptions &amp; Data'!P478</f>
        <v>230224.529045</v>
      </c>
      <c r="Q344" s="39" t="n">
        <f aca="false">M344-N344-O344-P344</f>
        <v>2751411.67658</v>
      </c>
      <c r="R344" s="39" t="n">
        <f aca="false">'Assumptions &amp; Data'!L478*'Assumptions &amp; Data'!M478</f>
        <v>649264</v>
      </c>
      <c r="S344" s="37" t="n">
        <f aca="false">'Assumptions &amp; Data'!Q478</f>
        <v>605500</v>
      </c>
      <c r="T344" s="37" t="n">
        <f aca="false">'Assumptions &amp; Data'!R478</f>
        <v>153277</v>
      </c>
      <c r="U344" s="37" t="n">
        <f aca="false">'Assumptions &amp; Data'!S478</f>
        <v>301206</v>
      </c>
      <c r="V344" s="39" t="n">
        <f aca="false">Q344-R344-S344-T344-U344</f>
        <v>1042164.67658</v>
      </c>
      <c r="W344" s="39" t="n">
        <f aca="false">DAY(EOMONTH(C344,0))</f>
        <v>31</v>
      </c>
      <c r="X344" s="40" t="n">
        <f aca="false">E344/W344</f>
        <v>1213.70967741935</v>
      </c>
      <c r="Y344" s="39" t="n">
        <f aca="false">R344+S344+T344+U344</f>
        <v>1709247</v>
      </c>
    </row>
    <row r="345" customFormat="false" ht="15" hidden="false" customHeight="false" outlineLevel="0" collapsed="false">
      <c r="A345" s="37" t="str">
        <f aca="false">'Assumptions &amp; Data'!A479</f>
        <v>SM0275</v>
      </c>
      <c r="B345" s="37" t="str">
        <f aca="false">'Assumptions &amp; Data'!B479</f>
        <v>DS023</v>
      </c>
      <c r="C345" s="38" t="n">
        <f aca="false">'Assumptions &amp; Data'!C479</f>
        <v>46235</v>
      </c>
      <c r="D345" s="39" t="str">
        <f aca="false">INDEX('Assumptions &amp; Data'!$B$142:$B$201,MATCH(B345,'Assumptions &amp; Data'!$A$142:$A$201,0))</f>
        <v>Mumbai MMR</v>
      </c>
      <c r="E345" s="37" t="n">
        <f aca="false">'Assumptions &amp; Data'!D479</f>
        <v>39901</v>
      </c>
      <c r="F345" s="39" t="n">
        <f aca="false">E345*'Assumptions &amp; Data'!E479</f>
        <v>27228442.4</v>
      </c>
      <c r="G345" s="39" t="n">
        <f aca="false">F345*'Assumptions &amp; Data'!F479</f>
        <v>1503010.02048</v>
      </c>
      <c r="H345" s="39" t="n">
        <f aca="false">F345-G345</f>
        <v>25725432.37952</v>
      </c>
      <c r="I345" s="39" t="n">
        <f aca="false">H345*'Assumptions &amp; Data'!G479</f>
        <v>4291002.12090394</v>
      </c>
      <c r="J345" s="39" t="n">
        <f aca="false">E345*'Assumptions &amp; Data'!H479</f>
        <v>531880.33</v>
      </c>
      <c r="K345" s="39" t="n">
        <f aca="false">H345*'Assumptions &amp; Data'!I479</f>
        <v>818068.749668736</v>
      </c>
      <c r="L345" s="39" t="n">
        <f aca="false">H345*'Assumptions &amp; Data'!J479</f>
        <v>519653.734066304</v>
      </c>
      <c r="M345" s="39" t="n">
        <f aca="false">I345+J345+K345-L345</f>
        <v>5121297.46650637</v>
      </c>
      <c r="N345" s="39" t="n">
        <f aca="false">E345*'Assumptions &amp; Data'!N479</f>
        <v>1524218.2</v>
      </c>
      <c r="O345" s="39" t="n">
        <f aca="false">E345*'Assumptions &amp; Data'!O479</f>
        <v>430930.8</v>
      </c>
      <c r="P345" s="39" t="n">
        <f aca="false">H345*'Assumptions &amp; Data'!P479</f>
        <v>275262.126460864</v>
      </c>
      <c r="Q345" s="39" t="n">
        <f aca="false">M345-N345-O345-P345</f>
        <v>2890886.3400455</v>
      </c>
      <c r="R345" s="39" t="n">
        <f aca="false">'Assumptions &amp; Data'!L479*'Assumptions &amp; Data'!M479</f>
        <v>649852</v>
      </c>
      <c r="S345" s="37" t="n">
        <f aca="false">'Assumptions &amp; Data'!Q479</f>
        <v>605500</v>
      </c>
      <c r="T345" s="37" t="n">
        <f aca="false">'Assumptions &amp; Data'!R479</f>
        <v>146563</v>
      </c>
      <c r="U345" s="37" t="n">
        <f aca="false">'Assumptions &amp; Data'!S479</f>
        <v>327783</v>
      </c>
      <c r="V345" s="39" t="n">
        <f aca="false">Q345-R345-S345-T345-U345</f>
        <v>1161188.3400455</v>
      </c>
      <c r="W345" s="39" t="n">
        <f aca="false">DAY(EOMONTH(C345,0))</f>
        <v>31</v>
      </c>
      <c r="X345" s="40" t="n">
        <f aca="false">E345/W345</f>
        <v>1287.12903225806</v>
      </c>
      <c r="Y345" s="39" t="n">
        <f aca="false">R345+S345+T345+U345</f>
        <v>1729698</v>
      </c>
    </row>
    <row r="346" customFormat="false" ht="15" hidden="false" customHeight="false" outlineLevel="0" collapsed="false">
      <c r="A346" s="37" t="str">
        <f aca="false">'Assumptions &amp; Data'!A480</f>
        <v>SM0276</v>
      </c>
      <c r="B346" s="37" t="str">
        <f aca="false">'Assumptions &amp; Data'!B480</f>
        <v>DS023</v>
      </c>
      <c r="C346" s="38" t="n">
        <f aca="false">'Assumptions &amp; Data'!C480</f>
        <v>46266</v>
      </c>
      <c r="D346" s="39" t="str">
        <f aca="false">INDEX('Assumptions &amp; Data'!$B$142:$B$201,MATCH(B346,'Assumptions &amp; Data'!$A$142:$A$201,0))</f>
        <v>Mumbai MMR</v>
      </c>
      <c r="E346" s="37" t="n">
        <f aca="false">'Assumptions &amp; Data'!D480</f>
        <v>41984</v>
      </c>
      <c r="F346" s="39" t="n">
        <f aca="false">E346*'Assumptions &amp; Data'!E480</f>
        <v>29405593.6</v>
      </c>
      <c r="G346" s="39" t="n">
        <f aca="false">F346*'Assumptions &amp; Data'!F480</f>
        <v>1617307.648</v>
      </c>
      <c r="H346" s="39" t="n">
        <f aca="false">F346-G346</f>
        <v>27788285.952</v>
      </c>
      <c r="I346" s="39" t="n">
        <f aca="false">H346*'Assumptions &amp; Data'!G480</f>
        <v>4648980.2397696</v>
      </c>
      <c r="J346" s="39" t="n">
        <f aca="false">E346*'Assumptions &amp; Data'!H480</f>
        <v>592814.08</v>
      </c>
      <c r="K346" s="39" t="n">
        <f aca="false">H346*'Assumptions &amp; Data'!I480</f>
        <v>925349.9222016</v>
      </c>
      <c r="L346" s="39" t="n">
        <f aca="false">H346*'Assumptions &amp; Data'!J480</f>
        <v>575217.5192064</v>
      </c>
      <c r="M346" s="39" t="n">
        <f aca="false">I346+J346+K346-L346</f>
        <v>5591926.7227648</v>
      </c>
      <c r="N346" s="39" t="n">
        <f aca="false">E346*'Assumptions &amp; Data'!N480</f>
        <v>1613445.12</v>
      </c>
      <c r="O346" s="39" t="n">
        <f aca="false">E346*'Assumptions &amp; Data'!O480</f>
        <v>458045.44</v>
      </c>
      <c r="P346" s="39" t="n">
        <f aca="false">H346*'Assumptions &amp; Data'!P480</f>
        <v>275104.0309248</v>
      </c>
      <c r="Q346" s="39" t="n">
        <f aca="false">M346-N346-O346-P346</f>
        <v>3245332.13184</v>
      </c>
      <c r="R346" s="39" t="n">
        <f aca="false">'Assumptions &amp; Data'!L480*'Assumptions &amp; Data'!M480</f>
        <v>720130</v>
      </c>
      <c r="S346" s="37" t="n">
        <f aca="false">'Assumptions &amp; Data'!Q480</f>
        <v>605500</v>
      </c>
      <c r="T346" s="37" t="n">
        <f aca="false">'Assumptions &amp; Data'!R480</f>
        <v>152657</v>
      </c>
      <c r="U346" s="37" t="n">
        <f aca="false">'Assumptions &amp; Data'!S480</f>
        <v>309813</v>
      </c>
      <c r="V346" s="39" t="n">
        <f aca="false">Q346-R346-S346-T346-U346</f>
        <v>1457232.13184</v>
      </c>
      <c r="W346" s="39" t="n">
        <f aca="false">DAY(EOMONTH(C346,0))</f>
        <v>30</v>
      </c>
      <c r="X346" s="40" t="n">
        <f aca="false">E346/W346</f>
        <v>1399.46666666667</v>
      </c>
      <c r="Y346" s="39" t="n">
        <f aca="false">R346+S346+T346+U346</f>
        <v>1788100</v>
      </c>
    </row>
    <row r="347" customFormat="false" ht="15" hidden="false" customHeight="false" outlineLevel="0" collapsed="false">
      <c r="A347" s="37" t="str">
        <f aca="false">'Assumptions &amp; Data'!A481</f>
        <v>SM0277</v>
      </c>
      <c r="B347" s="37" t="str">
        <f aca="false">'Assumptions &amp; Data'!B481</f>
        <v>DS024</v>
      </c>
      <c r="C347" s="38" t="n">
        <f aca="false">'Assumptions &amp; Data'!C481</f>
        <v>45931</v>
      </c>
      <c r="D347" s="39" t="str">
        <f aca="false">INDEX('Assumptions &amp; Data'!$B$142:$B$201,MATCH(B347,'Assumptions &amp; Data'!$A$142:$A$201,0))</f>
        <v>Mumbai MMR</v>
      </c>
      <c r="E347" s="37" t="n">
        <f aca="false">'Assumptions &amp; Data'!D481</f>
        <v>31756</v>
      </c>
      <c r="F347" s="39" t="n">
        <f aca="false">E347*'Assumptions &amp; Data'!E481</f>
        <v>20838287.2</v>
      </c>
      <c r="G347" s="39" t="n">
        <f aca="false">F347*'Assumptions &amp; Data'!F481</f>
        <v>1154441.11088</v>
      </c>
      <c r="H347" s="39" t="n">
        <f aca="false">F347-G347</f>
        <v>19683846.08912</v>
      </c>
      <c r="I347" s="39" t="n">
        <f aca="false">H347*'Assumptions &amp; Data'!G481</f>
        <v>3367906.06584843</v>
      </c>
      <c r="J347" s="39" t="n">
        <f aca="false">E347*'Assumptions &amp; Data'!H481</f>
        <v>470941.48</v>
      </c>
      <c r="K347" s="39" t="n">
        <f aca="false">H347*'Assumptions &amp; Data'!I481</f>
        <v>533432.229015152</v>
      </c>
      <c r="L347" s="39" t="n">
        <f aca="false">H347*'Assumptions &amp; Data'!J481</f>
        <v>362182.768039808</v>
      </c>
      <c r="M347" s="39" t="n">
        <f aca="false">I347+J347+K347-L347</f>
        <v>4010097.00682378</v>
      </c>
      <c r="N347" s="39" t="n">
        <f aca="false">E347*'Assumptions &amp; Data'!N481</f>
        <v>1277861.44</v>
      </c>
      <c r="O347" s="39" t="n">
        <f aca="false">E347*'Assumptions &amp; Data'!O481</f>
        <v>345822.84</v>
      </c>
      <c r="P347" s="39" t="n">
        <f aca="false">H347*'Assumptions &amp; Data'!P481</f>
        <v>200775.230109024</v>
      </c>
      <c r="Q347" s="39" t="n">
        <f aca="false">M347-N347-O347-P347</f>
        <v>2185637.49671475</v>
      </c>
      <c r="R347" s="39" t="n">
        <f aca="false">'Assumptions &amp; Data'!L481*'Assumptions &amp; Data'!M481</f>
        <v>621000</v>
      </c>
      <c r="S347" s="37" t="n">
        <f aca="false">'Assumptions &amp; Data'!Q481</f>
        <v>1020000</v>
      </c>
      <c r="T347" s="37" t="n">
        <f aca="false">'Assumptions &amp; Data'!R481</f>
        <v>194846</v>
      </c>
      <c r="U347" s="37" t="n">
        <f aca="false">'Assumptions &amp; Data'!S481</f>
        <v>193618</v>
      </c>
      <c r="V347" s="39" t="n">
        <f aca="false">Q347-R347-S347-T347-U347</f>
        <v>156173.496714753</v>
      </c>
      <c r="W347" s="39" t="n">
        <f aca="false">DAY(EOMONTH(C347,0))</f>
        <v>31</v>
      </c>
      <c r="X347" s="40" t="n">
        <f aca="false">E347/W347</f>
        <v>1024.38709677419</v>
      </c>
      <c r="Y347" s="39" t="n">
        <f aca="false">R347+S347+T347+U347</f>
        <v>2029464</v>
      </c>
    </row>
    <row r="348" customFormat="false" ht="15" hidden="false" customHeight="false" outlineLevel="0" collapsed="false">
      <c r="A348" s="37" t="str">
        <f aca="false">'Assumptions &amp; Data'!A482</f>
        <v>SM0278</v>
      </c>
      <c r="B348" s="37" t="str">
        <f aca="false">'Assumptions &amp; Data'!B482</f>
        <v>DS024</v>
      </c>
      <c r="C348" s="38" t="n">
        <f aca="false">'Assumptions &amp; Data'!C482</f>
        <v>45962</v>
      </c>
      <c r="D348" s="39" t="str">
        <f aca="false">INDEX('Assumptions &amp; Data'!$B$142:$B$201,MATCH(B348,'Assumptions &amp; Data'!$A$142:$A$201,0))</f>
        <v>Mumbai MMR</v>
      </c>
      <c r="E348" s="37" t="n">
        <f aca="false">'Assumptions &amp; Data'!D482</f>
        <v>32601</v>
      </c>
      <c r="F348" s="39" t="n">
        <f aca="false">E348*'Assumptions &amp; Data'!E482</f>
        <v>22853301</v>
      </c>
      <c r="G348" s="39" t="n">
        <f aca="false">F348*'Assumptions &amp; Data'!F482</f>
        <v>1215795.6132</v>
      </c>
      <c r="H348" s="39" t="n">
        <f aca="false">F348-G348</f>
        <v>21637505.3868</v>
      </c>
      <c r="I348" s="39" t="n">
        <f aca="false">H348*'Assumptions &amp; Data'!G482</f>
        <v>3717323.42545224</v>
      </c>
      <c r="J348" s="39" t="n">
        <f aca="false">E348*'Assumptions &amp; Data'!H482</f>
        <v>466194.3</v>
      </c>
      <c r="K348" s="39" t="n">
        <f aca="false">H348*'Assumptions &amp; Data'!I482</f>
        <v>644797.66052664</v>
      </c>
      <c r="L348" s="39" t="n">
        <f aca="false">H348*'Assumptions &amp; Data'!J482</f>
        <v>370001.34211428</v>
      </c>
      <c r="M348" s="39" t="n">
        <f aca="false">I348+J348+K348-L348</f>
        <v>4458314.0438646</v>
      </c>
      <c r="N348" s="39" t="n">
        <f aca="false">E348*'Assumptions &amp; Data'!N482</f>
        <v>1305344.04</v>
      </c>
      <c r="O348" s="39" t="n">
        <f aca="false">E348*'Assumptions &amp; Data'!O482</f>
        <v>357306.96</v>
      </c>
      <c r="P348" s="39" t="n">
        <f aca="false">H348*'Assumptions &amp; Data'!P482</f>
        <v>218538.80440668</v>
      </c>
      <c r="Q348" s="39" t="n">
        <f aca="false">M348-N348-O348-P348</f>
        <v>2577124.23945792</v>
      </c>
      <c r="R348" s="39" t="n">
        <f aca="false">'Assumptions &amp; Data'!L482*'Assumptions &amp; Data'!M482</f>
        <v>667609</v>
      </c>
      <c r="S348" s="37" t="n">
        <f aca="false">'Assumptions &amp; Data'!Q482</f>
        <v>1020000</v>
      </c>
      <c r="T348" s="37" t="n">
        <f aca="false">'Assumptions &amp; Data'!R482</f>
        <v>184045</v>
      </c>
      <c r="U348" s="37" t="n">
        <f aca="false">'Assumptions &amp; Data'!S482</f>
        <v>217073</v>
      </c>
      <c r="V348" s="39" t="n">
        <f aca="false">Q348-R348-S348-T348-U348</f>
        <v>488397.239457919</v>
      </c>
      <c r="W348" s="39" t="n">
        <f aca="false">DAY(EOMONTH(C348,0))</f>
        <v>30</v>
      </c>
      <c r="X348" s="40" t="n">
        <f aca="false">E348/W348</f>
        <v>1086.7</v>
      </c>
      <c r="Y348" s="39" t="n">
        <f aca="false">R348+S348+T348+U348</f>
        <v>2088727</v>
      </c>
    </row>
    <row r="349" customFormat="false" ht="15" hidden="false" customHeight="false" outlineLevel="0" collapsed="false">
      <c r="A349" s="37" t="str">
        <f aca="false">'Assumptions &amp; Data'!A483</f>
        <v>SM0279</v>
      </c>
      <c r="B349" s="37" t="str">
        <f aca="false">'Assumptions &amp; Data'!B483</f>
        <v>DS024</v>
      </c>
      <c r="C349" s="38" t="n">
        <f aca="false">'Assumptions &amp; Data'!C483</f>
        <v>45992</v>
      </c>
      <c r="D349" s="39" t="str">
        <f aca="false">INDEX('Assumptions &amp; Data'!$B$142:$B$201,MATCH(B349,'Assumptions &amp; Data'!$A$142:$A$201,0))</f>
        <v>Mumbai MMR</v>
      </c>
      <c r="E349" s="37" t="n">
        <f aca="false">'Assumptions &amp; Data'!D483</f>
        <v>33560</v>
      </c>
      <c r="F349" s="39" t="n">
        <f aca="false">E349*'Assumptions &amp; Data'!E483</f>
        <v>23247012</v>
      </c>
      <c r="G349" s="39" t="n">
        <f aca="false">F349*'Assumptions &amp; Data'!F483</f>
        <v>1273936.2576</v>
      </c>
      <c r="H349" s="39" t="n">
        <f aca="false">F349-G349</f>
        <v>21973075.7424</v>
      </c>
      <c r="I349" s="39" t="n">
        <f aca="false">H349*'Assumptions &amp; Data'!G483</f>
        <v>3739817.49135648</v>
      </c>
      <c r="J349" s="39" t="n">
        <f aca="false">E349*'Assumptions &amp; Data'!H483</f>
        <v>483264</v>
      </c>
      <c r="K349" s="39" t="n">
        <f aca="false">H349*'Assumptions &amp; Data'!I483</f>
        <v>606456.89049024</v>
      </c>
      <c r="L349" s="39" t="n">
        <f aca="false">H349*'Assumptions &amp; Data'!J483</f>
        <v>353766.51945264</v>
      </c>
      <c r="M349" s="39" t="n">
        <f aca="false">I349+J349+K349-L349</f>
        <v>4475771.86239408</v>
      </c>
      <c r="N349" s="39" t="n">
        <f aca="false">E349*'Assumptions &amp; Data'!N483</f>
        <v>1334345.6</v>
      </c>
      <c r="O349" s="39" t="n">
        <f aca="false">E349*'Assumptions &amp; Data'!O483</f>
        <v>372516</v>
      </c>
      <c r="P349" s="39" t="n">
        <f aca="false">H349*'Assumptions &amp; Data'!P483</f>
        <v>224125.37257248</v>
      </c>
      <c r="Q349" s="39" t="n">
        <f aca="false">M349-N349-O349-P349</f>
        <v>2544784.8898216</v>
      </c>
      <c r="R349" s="39" t="n">
        <f aca="false">'Assumptions &amp; Data'!L483*'Assumptions &amp; Data'!M483</f>
        <v>691260</v>
      </c>
      <c r="S349" s="37" t="n">
        <f aca="false">'Assumptions &amp; Data'!Q483</f>
        <v>1020000</v>
      </c>
      <c r="T349" s="37" t="n">
        <f aca="false">'Assumptions &amp; Data'!R483</f>
        <v>191550</v>
      </c>
      <c r="U349" s="37" t="n">
        <f aca="false">'Assumptions &amp; Data'!S483</f>
        <v>209984</v>
      </c>
      <c r="V349" s="39" t="n">
        <f aca="false">Q349-R349-S349-T349-U349</f>
        <v>431990.889821599</v>
      </c>
      <c r="W349" s="39" t="n">
        <f aca="false">DAY(EOMONTH(C349,0))</f>
        <v>31</v>
      </c>
      <c r="X349" s="40" t="n">
        <f aca="false">E349/W349</f>
        <v>1082.58064516129</v>
      </c>
      <c r="Y349" s="39" t="n">
        <f aca="false">R349+S349+T349+U349</f>
        <v>2112794</v>
      </c>
    </row>
    <row r="350" customFormat="false" ht="15" hidden="false" customHeight="false" outlineLevel="0" collapsed="false">
      <c r="A350" s="37" t="str">
        <f aca="false">'Assumptions &amp; Data'!A484</f>
        <v>SM0280</v>
      </c>
      <c r="B350" s="37" t="str">
        <f aca="false">'Assumptions &amp; Data'!B484</f>
        <v>DS024</v>
      </c>
      <c r="C350" s="38" t="n">
        <f aca="false">'Assumptions &amp; Data'!C484</f>
        <v>46023</v>
      </c>
      <c r="D350" s="39" t="str">
        <f aca="false">INDEX('Assumptions &amp; Data'!$B$142:$B$201,MATCH(B350,'Assumptions &amp; Data'!$A$142:$A$201,0))</f>
        <v>Mumbai MMR</v>
      </c>
      <c r="E350" s="37" t="n">
        <f aca="false">'Assumptions &amp; Data'!D484</f>
        <v>30452</v>
      </c>
      <c r="F350" s="39" t="n">
        <f aca="false">E350*'Assumptions &amp; Data'!E484</f>
        <v>20826122.8</v>
      </c>
      <c r="G350" s="39" t="n">
        <f aca="false">F350*'Assumptions &amp; Data'!F484</f>
        <v>1060049.65052</v>
      </c>
      <c r="H350" s="39" t="n">
        <f aca="false">F350-G350</f>
        <v>19766073.14948</v>
      </c>
      <c r="I350" s="39" t="n">
        <f aca="false">H350*'Assumptions &amp; Data'!G484</f>
        <v>3370115.47198634</v>
      </c>
      <c r="J350" s="39" t="n">
        <f aca="false">E350*'Assumptions &amp; Data'!H484</f>
        <v>432418.4</v>
      </c>
      <c r="K350" s="39" t="n">
        <f aca="false">H350*'Assumptions &amp; Data'!I484</f>
        <v>559379.870130284</v>
      </c>
      <c r="L350" s="39" t="n">
        <f aca="false">H350*'Assumptions &amp; Data'!J484</f>
        <v>326140.20696642</v>
      </c>
      <c r="M350" s="39" t="n">
        <f aca="false">I350+J350+K350-L350</f>
        <v>4035773.5351502</v>
      </c>
      <c r="N350" s="39" t="n">
        <f aca="false">E350*'Assumptions &amp; Data'!N484</f>
        <v>1188846.08</v>
      </c>
      <c r="O350" s="39" t="n">
        <f aca="false">E350*'Assumptions &amp; Data'!O484</f>
        <v>326749.96</v>
      </c>
      <c r="P350" s="39" t="n">
        <f aca="false">H350*'Assumptions &amp; Data'!P484</f>
        <v>199637.338809748</v>
      </c>
      <c r="Q350" s="39" t="n">
        <f aca="false">M350-N350-O350-P350</f>
        <v>2320540.15634046</v>
      </c>
      <c r="R350" s="39" t="n">
        <f aca="false">'Assumptions &amp; Data'!L484*'Assumptions &amp; Data'!M484</f>
        <v>622701</v>
      </c>
      <c r="S350" s="37" t="n">
        <f aca="false">'Assumptions &amp; Data'!Q484</f>
        <v>1020000</v>
      </c>
      <c r="T350" s="37" t="n">
        <f aca="false">'Assumptions &amp; Data'!R484</f>
        <v>186329</v>
      </c>
      <c r="U350" s="37" t="n">
        <f aca="false">'Assumptions &amp; Data'!S484</f>
        <v>172343</v>
      </c>
      <c r="V350" s="39" t="n">
        <f aca="false">Q350-R350-S350-T350-U350</f>
        <v>319167.156340456</v>
      </c>
      <c r="W350" s="39" t="n">
        <f aca="false">DAY(EOMONTH(C350,0))</f>
        <v>31</v>
      </c>
      <c r="X350" s="40" t="n">
        <f aca="false">E350/W350</f>
        <v>982.322580645161</v>
      </c>
      <c r="Y350" s="39" t="n">
        <f aca="false">R350+S350+T350+U350</f>
        <v>2001373</v>
      </c>
    </row>
    <row r="351" customFormat="false" ht="15" hidden="false" customHeight="false" outlineLevel="0" collapsed="false">
      <c r="A351" s="37" t="str">
        <f aca="false">'Assumptions &amp; Data'!A485</f>
        <v>SM0281</v>
      </c>
      <c r="B351" s="37" t="str">
        <f aca="false">'Assumptions &amp; Data'!B485</f>
        <v>DS024</v>
      </c>
      <c r="C351" s="38" t="n">
        <f aca="false">'Assumptions &amp; Data'!C485</f>
        <v>46054</v>
      </c>
      <c r="D351" s="39" t="str">
        <f aca="false">INDEX('Assumptions &amp; Data'!$B$142:$B$201,MATCH(B351,'Assumptions &amp; Data'!$A$142:$A$201,0))</f>
        <v>Mumbai MMR</v>
      </c>
      <c r="E351" s="37" t="n">
        <f aca="false">'Assumptions &amp; Data'!D485</f>
        <v>31220</v>
      </c>
      <c r="F351" s="39" t="n">
        <f aca="false">E351*'Assumptions &amp; Data'!E485</f>
        <v>21988246</v>
      </c>
      <c r="G351" s="39" t="n">
        <f aca="false">F351*'Assumptions &amp; Data'!F485</f>
        <v>1213751.1792</v>
      </c>
      <c r="H351" s="39" t="n">
        <f aca="false">F351-G351</f>
        <v>20774494.8208</v>
      </c>
      <c r="I351" s="39" t="n">
        <f aca="false">H351*'Assumptions &amp; Data'!G485</f>
        <v>3618916.99778336</v>
      </c>
      <c r="J351" s="39" t="n">
        <f aca="false">E351*'Assumptions &amp; Data'!H485</f>
        <v>433645.8</v>
      </c>
      <c r="K351" s="39" t="n">
        <f aca="false">H351*'Assumptions &amp; Data'!I485</f>
        <v>600382.90032112</v>
      </c>
      <c r="L351" s="39" t="n">
        <f aca="false">H351*'Assumptions &amp; Data'!J485</f>
        <v>349011.51298944</v>
      </c>
      <c r="M351" s="39" t="n">
        <f aca="false">I351+J351+K351-L351</f>
        <v>4303934.18511504</v>
      </c>
      <c r="N351" s="39" t="n">
        <f aca="false">E351*'Assumptions &amp; Data'!N485</f>
        <v>1241619.4</v>
      </c>
      <c r="O351" s="39" t="n">
        <f aca="false">E351*'Assumptions &amp; Data'!O485</f>
        <v>334678.4</v>
      </c>
      <c r="P351" s="39" t="n">
        <f aca="false">H351*'Assumptions &amp; Data'!P485</f>
        <v>209822.39769008</v>
      </c>
      <c r="Q351" s="39" t="n">
        <f aca="false">M351-N351-O351-P351</f>
        <v>2517813.98742496</v>
      </c>
      <c r="R351" s="39" t="n">
        <f aca="false">'Assumptions &amp; Data'!L485*'Assumptions &amp; Data'!M485</f>
        <v>669436</v>
      </c>
      <c r="S351" s="37" t="n">
        <f aca="false">'Assumptions &amp; Data'!Q485</f>
        <v>1020000</v>
      </c>
      <c r="T351" s="37" t="n">
        <f aca="false">'Assumptions &amp; Data'!R485</f>
        <v>191760</v>
      </c>
      <c r="U351" s="37" t="n">
        <f aca="false">'Assumptions &amp; Data'!S485</f>
        <v>192975</v>
      </c>
      <c r="V351" s="39" t="n">
        <f aca="false">Q351-R351-S351-T351-U351</f>
        <v>443642.98742496</v>
      </c>
      <c r="W351" s="39" t="n">
        <f aca="false">DAY(EOMONTH(C351,0))</f>
        <v>28</v>
      </c>
      <c r="X351" s="40" t="n">
        <f aca="false">E351/W351</f>
        <v>1115</v>
      </c>
      <c r="Y351" s="39" t="n">
        <f aca="false">R351+S351+T351+U351</f>
        <v>2074171</v>
      </c>
    </row>
    <row r="352" customFormat="false" ht="15" hidden="false" customHeight="false" outlineLevel="0" collapsed="false">
      <c r="A352" s="37" t="str">
        <f aca="false">'Assumptions &amp; Data'!A486</f>
        <v>SM0282</v>
      </c>
      <c r="B352" s="37" t="str">
        <f aca="false">'Assumptions &amp; Data'!B486</f>
        <v>DS024</v>
      </c>
      <c r="C352" s="38" t="n">
        <f aca="false">'Assumptions &amp; Data'!C486</f>
        <v>46082</v>
      </c>
      <c r="D352" s="39" t="str">
        <f aca="false">INDEX('Assumptions &amp; Data'!$B$142:$B$201,MATCH(B352,'Assumptions &amp; Data'!$A$142:$A$201,0))</f>
        <v>Mumbai MMR</v>
      </c>
      <c r="E352" s="37" t="n">
        <f aca="false">'Assumptions &amp; Data'!D486</f>
        <v>33304</v>
      </c>
      <c r="F352" s="39" t="n">
        <f aca="false">E352*'Assumptions &amp; Data'!E486</f>
        <v>23186244.8</v>
      </c>
      <c r="G352" s="39" t="n">
        <f aca="false">F352*'Assumptions &amp; Data'!F486</f>
        <v>1298429.7088</v>
      </c>
      <c r="H352" s="39" t="n">
        <f aca="false">F352-G352</f>
        <v>21887815.0912</v>
      </c>
      <c r="I352" s="39" t="n">
        <f aca="false">H352*'Assumptions &amp; Data'!G486</f>
        <v>3692474.40588544</v>
      </c>
      <c r="J352" s="39" t="n">
        <f aca="false">E352*'Assumptions &amp; Data'!H486</f>
        <v>468254.24</v>
      </c>
      <c r="K352" s="39" t="n">
        <f aca="false">H352*'Assumptions &amp; Data'!I486</f>
        <v>630369.07462656</v>
      </c>
      <c r="L352" s="39" t="n">
        <f aca="false">H352*'Assumptions &amp; Data'!J486</f>
        <v>372092.8565504</v>
      </c>
      <c r="M352" s="39" t="n">
        <f aca="false">I352+J352+K352-L352</f>
        <v>4419004.8639616</v>
      </c>
      <c r="N352" s="39" t="n">
        <f aca="false">E352*'Assumptions &amp; Data'!N486</f>
        <v>1343816.4</v>
      </c>
      <c r="O352" s="39" t="n">
        <f aca="false">E352*'Assumptions &amp; Data'!O486</f>
        <v>361348.4</v>
      </c>
      <c r="P352" s="39" t="n">
        <f aca="false">H352*'Assumptions &amp; Data'!P486</f>
        <v>221066.93242112</v>
      </c>
      <c r="Q352" s="39" t="n">
        <f aca="false">M352-N352-O352-P352</f>
        <v>2492773.13154048</v>
      </c>
      <c r="R352" s="39" t="n">
        <f aca="false">'Assumptions &amp; Data'!L486*'Assumptions &amp; Data'!M486</f>
        <v>693150</v>
      </c>
      <c r="S352" s="37" t="n">
        <f aca="false">'Assumptions &amp; Data'!Q486</f>
        <v>1020000</v>
      </c>
      <c r="T352" s="37" t="n">
        <f aca="false">'Assumptions &amp; Data'!R486</f>
        <v>197173</v>
      </c>
      <c r="U352" s="37" t="n">
        <f aca="false">'Assumptions &amp; Data'!S486</f>
        <v>210633</v>
      </c>
      <c r="V352" s="39" t="n">
        <f aca="false">Q352-R352-S352-T352-U352</f>
        <v>371817.13154048</v>
      </c>
      <c r="W352" s="39" t="n">
        <f aca="false">DAY(EOMONTH(C352,0))</f>
        <v>31</v>
      </c>
      <c r="X352" s="40" t="n">
        <f aca="false">E352/W352</f>
        <v>1074.32258064516</v>
      </c>
      <c r="Y352" s="39" t="n">
        <f aca="false">R352+S352+T352+U352</f>
        <v>2120956</v>
      </c>
    </row>
    <row r="353" customFormat="false" ht="15" hidden="false" customHeight="false" outlineLevel="0" collapsed="false">
      <c r="A353" s="37" t="str">
        <f aca="false">'Assumptions &amp; Data'!A487</f>
        <v>SM0283</v>
      </c>
      <c r="B353" s="37" t="str">
        <f aca="false">'Assumptions &amp; Data'!B487</f>
        <v>DS024</v>
      </c>
      <c r="C353" s="38" t="n">
        <f aca="false">'Assumptions &amp; Data'!C487</f>
        <v>46113</v>
      </c>
      <c r="D353" s="39" t="str">
        <f aca="false">INDEX('Assumptions &amp; Data'!$B$142:$B$201,MATCH(B353,'Assumptions &amp; Data'!$A$142:$A$201,0))</f>
        <v>Mumbai MMR</v>
      </c>
      <c r="E353" s="37" t="n">
        <f aca="false">'Assumptions &amp; Data'!D487</f>
        <v>34743</v>
      </c>
      <c r="F353" s="39" t="n">
        <f aca="false">E353*'Assumptions &amp; Data'!E487</f>
        <v>23705148.9</v>
      </c>
      <c r="G353" s="39" t="n">
        <f aca="false">F353*'Assumptions &amp; Data'!F487</f>
        <v>1348822.97241</v>
      </c>
      <c r="H353" s="39" t="n">
        <f aca="false">F353-G353</f>
        <v>22356325.92759</v>
      </c>
      <c r="I353" s="39" t="n">
        <f aca="false">H353*'Assumptions &amp; Data'!G487</f>
        <v>3856466.22250927</v>
      </c>
      <c r="J353" s="39" t="n">
        <f aca="false">E353*'Assumptions &amp; Data'!H487</f>
        <v>491613.45</v>
      </c>
      <c r="K353" s="39" t="n">
        <f aca="false">H353*'Assumptions &amp; Data'!I487</f>
        <v>679632.308198736</v>
      </c>
      <c r="L353" s="39" t="n">
        <f aca="false">H353*'Assumptions &amp; Data'!J487</f>
        <v>342051.786692127</v>
      </c>
      <c r="M353" s="39" t="n">
        <f aca="false">I353+J353+K353-L353</f>
        <v>4685660.19401588</v>
      </c>
      <c r="N353" s="39" t="n">
        <f aca="false">E353*'Assumptions &amp; Data'!N487</f>
        <v>1393541.73</v>
      </c>
      <c r="O353" s="39" t="n">
        <f aca="false">E353*'Assumptions &amp; Data'!O487</f>
        <v>379393.56</v>
      </c>
      <c r="P353" s="39" t="n">
        <f aca="false">H353*'Assumptions &amp; Data'!P487</f>
        <v>214620.728904864</v>
      </c>
      <c r="Q353" s="39" t="n">
        <f aca="false">M353-N353-O353-P353</f>
        <v>2698104.17511102</v>
      </c>
      <c r="R353" s="39" t="n">
        <f aca="false">'Assumptions &amp; Data'!L487*'Assumptions &amp; Data'!M487</f>
        <v>740000</v>
      </c>
      <c r="S353" s="37" t="n">
        <f aca="false">'Assumptions &amp; Data'!Q487</f>
        <v>1020000</v>
      </c>
      <c r="T353" s="37" t="n">
        <f aca="false">'Assumptions &amp; Data'!R487</f>
        <v>186956</v>
      </c>
      <c r="U353" s="37" t="n">
        <f aca="false">'Assumptions &amp; Data'!S487</f>
        <v>190022</v>
      </c>
      <c r="V353" s="39" t="n">
        <f aca="false">Q353-R353-S353-T353-U353</f>
        <v>561126.17511102</v>
      </c>
      <c r="W353" s="39" t="n">
        <f aca="false">DAY(EOMONTH(C353,0))</f>
        <v>30</v>
      </c>
      <c r="X353" s="40" t="n">
        <f aca="false">E353/W353</f>
        <v>1158.1</v>
      </c>
      <c r="Y353" s="39" t="n">
        <f aca="false">R353+S353+T353+U353</f>
        <v>2136978</v>
      </c>
    </row>
    <row r="354" customFormat="false" ht="15" hidden="false" customHeight="false" outlineLevel="0" collapsed="false">
      <c r="A354" s="37" t="str">
        <f aca="false">'Assumptions &amp; Data'!A488</f>
        <v>SM0284</v>
      </c>
      <c r="B354" s="37" t="str">
        <f aca="false">'Assumptions &amp; Data'!B488</f>
        <v>DS024</v>
      </c>
      <c r="C354" s="38" t="n">
        <f aca="false">'Assumptions &amp; Data'!C488</f>
        <v>46143</v>
      </c>
      <c r="D354" s="39" t="str">
        <f aca="false">INDEX('Assumptions &amp; Data'!$B$142:$B$201,MATCH(B354,'Assumptions &amp; Data'!$A$142:$A$201,0))</f>
        <v>Mumbai MMR</v>
      </c>
      <c r="E354" s="37" t="n">
        <f aca="false">'Assumptions &amp; Data'!D488</f>
        <v>36761</v>
      </c>
      <c r="F354" s="39" t="n">
        <f aca="false">E354*'Assumptions &amp; Data'!E488</f>
        <v>24909253.6</v>
      </c>
      <c r="G354" s="39" t="n">
        <f aca="false">F354*'Assumptions &amp; Data'!F488</f>
        <v>1245462.68</v>
      </c>
      <c r="H354" s="39" t="n">
        <f aca="false">F354-G354</f>
        <v>23663790.92</v>
      </c>
      <c r="I354" s="39" t="n">
        <f aca="false">H354*'Assumptions &amp; Data'!G488</f>
        <v>3984982.390928</v>
      </c>
      <c r="J354" s="39" t="n">
        <f aca="false">E354*'Assumptions &amp; Data'!H488</f>
        <v>526417.52</v>
      </c>
      <c r="K354" s="39" t="n">
        <f aca="false">H354*'Assumptions &amp; Data'!I488</f>
        <v>721745.62306</v>
      </c>
      <c r="L354" s="39" t="n">
        <f aca="false">H354*'Assumptions &amp; Data'!J488</f>
        <v>373887.896536</v>
      </c>
      <c r="M354" s="39" t="n">
        <f aca="false">I354+J354+K354-L354</f>
        <v>4859257.637452</v>
      </c>
      <c r="N354" s="39" t="n">
        <f aca="false">E354*'Assumptions &amp; Data'!N488</f>
        <v>1471175.22</v>
      </c>
      <c r="O354" s="39" t="n">
        <f aca="false">E354*'Assumptions &amp; Data'!O488</f>
        <v>402532.95</v>
      </c>
      <c r="P354" s="39" t="n">
        <f aca="false">H354*'Assumptions &amp; Data'!P488</f>
        <v>231905.151016</v>
      </c>
      <c r="Q354" s="39" t="n">
        <f aca="false">M354-N354-O354-P354</f>
        <v>2753644.316436</v>
      </c>
      <c r="R354" s="39" t="n">
        <f aca="false">'Assumptions &amp; Data'!L488*'Assumptions &amp; Data'!M488</f>
        <v>763818</v>
      </c>
      <c r="S354" s="37" t="n">
        <f aca="false">'Assumptions &amp; Data'!Q488</f>
        <v>1020000</v>
      </c>
      <c r="T354" s="37" t="n">
        <f aca="false">'Assumptions &amp; Data'!R488</f>
        <v>181180</v>
      </c>
      <c r="U354" s="37" t="n">
        <f aca="false">'Assumptions &amp; Data'!S488</f>
        <v>186439</v>
      </c>
      <c r="V354" s="39" t="n">
        <f aca="false">Q354-R354-S354-T354-U354</f>
        <v>602207.316436</v>
      </c>
      <c r="W354" s="39" t="n">
        <f aca="false">DAY(EOMONTH(C354,0))</f>
        <v>31</v>
      </c>
      <c r="X354" s="40" t="n">
        <f aca="false">E354/W354</f>
        <v>1185.83870967742</v>
      </c>
      <c r="Y354" s="39" t="n">
        <f aca="false">R354+S354+T354+U354</f>
        <v>2151437</v>
      </c>
    </row>
    <row r="355" customFormat="false" ht="15" hidden="false" customHeight="false" outlineLevel="0" collapsed="false">
      <c r="A355" s="37" t="str">
        <f aca="false">'Assumptions &amp; Data'!A489</f>
        <v>SM0285</v>
      </c>
      <c r="B355" s="37" t="str">
        <f aca="false">'Assumptions &amp; Data'!B489</f>
        <v>DS024</v>
      </c>
      <c r="C355" s="38" t="n">
        <f aca="false">'Assumptions &amp; Data'!C489</f>
        <v>46174</v>
      </c>
      <c r="D355" s="39" t="str">
        <f aca="false">INDEX('Assumptions &amp; Data'!$B$142:$B$201,MATCH(B355,'Assumptions &amp; Data'!$A$142:$A$201,0))</f>
        <v>Mumbai MMR</v>
      </c>
      <c r="E355" s="37" t="n">
        <f aca="false">'Assumptions &amp; Data'!D489</f>
        <v>37140</v>
      </c>
      <c r="F355" s="39" t="n">
        <f aca="false">E355*'Assumptions &amp; Data'!E489</f>
        <v>26209698</v>
      </c>
      <c r="G355" s="39" t="n">
        <f aca="false">F355*'Assumptions &amp; Data'!F489</f>
        <v>1294759.0812</v>
      </c>
      <c r="H355" s="39" t="n">
        <f aca="false">F355-G355</f>
        <v>24914938.9188</v>
      </c>
      <c r="I355" s="39" t="n">
        <f aca="false">H355*'Assumptions &amp; Data'!G489</f>
        <v>4200658.70170968</v>
      </c>
      <c r="J355" s="39" t="n">
        <f aca="false">E355*'Assumptions &amp; Data'!H489</f>
        <v>526645.2</v>
      </c>
      <c r="K355" s="39" t="n">
        <f aca="false">H355*'Assumptions &amp; Data'!I489</f>
        <v>787312.06983408</v>
      </c>
      <c r="L355" s="39" t="n">
        <f aca="false">H355*'Assumptions &amp; Data'!J489</f>
        <v>423553.9616196</v>
      </c>
      <c r="M355" s="39" t="n">
        <f aca="false">I355+J355+K355-L355</f>
        <v>5091062.00992416</v>
      </c>
      <c r="N355" s="39" t="n">
        <f aca="false">E355*'Assumptions &amp; Data'!N489</f>
        <v>1465915.8</v>
      </c>
      <c r="O355" s="39" t="n">
        <f aca="false">E355*'Assumptions &amp; Data'!O489</f>
        <v>407425.8</v>
      </c>
      <c r="P355" s="39" t="n">
        <f aca="false">H355*'Assumptions &amp; Data'!P489</f>
        <v>256623.87086364</v>
      </c>
      <c r="Q355" s="39" t="n">
        <f aca="false">M355-N355-O355-P355</f>
        <v>2961096.53906052</v>
      </c>
      <c r="R355" s="39" t="n">
        <f aca="false">'Assumptions &amp; Data'!L489*'Assumptions &amp; Data'!M489</f>
        <v>787678</v>
      </c>
      <c r="S355" s="37" t="n">
        <f aca="false">'Assumptions &amp; Data'!Q489</f>
        <v>1020000</v>
      </c>
      <c r="T355" s="37" t="n">
        <f aca="false">'Assumptions &amp; Data'!R489</f>
        <v>205800</v>
      </c>
      <c r="U355" s="37" t="n">
        <f aca="false">'Assumptions &amp; Data'!S489</f>
        <v>208957</v>
      </c>
      <c r="V355" s="39" t="n">
        <f aca="false">Q355-R355-S355-T355-U355</f>
        <v>738661.539060521</v>
      </c>
      <c r="W355" s="39" t="n">
        <f aca="false">DAY(EOMONTH(C355,0))</f>
        <v>30</v>
      </c>
      <c r="X355" s="40" t="n">
        <f aca="false">E355/W355</f>
        <v>1238</v>
      </c>
      <c r="Y355" s="39" t="n">
        <f aca="false">R355+S355+T355+U355</f>
        <v>2222435</v>
      </c>
    </row>
    <row r="356" customFormat="false" ht="15" hidden="false" customHeight="false" outlineLevel="0" collapsed="false">
      <c r="A356" s="37" t="str">
        <f aca="false">'Assumptions &amp; Data'!A490</f>
        <v>SM0286</v>
      </c>
      <c r="B356" s="37" t="str">
        <f aca="false">'Assumptions &amp; Data'!B490</f>
        <v>DS024</v>
      </c>
      <c r="C356" s="38" t="n">
        <f aca="false">'Assumptions &amp; Data'!C490</f>
        <v>46204</v>
      </c>
      <c r="D356" s="39" t="str">
        <f aca="false">INDEX('Assumptions &amp; Data'!$B$142:$B$201,MATCH(B356,'Assumptions &amp; Data'!$A$142:$A$201,0))</f>
        <v>Mumbai MMR</v>
      </c>
      <c r="E356" s="37" t="n">
        <f aca="false">'Assumptions &amp; Data'!D490</f>
        <v>33248</v>
      </c>
      <c r="F356" s="39" t="n">
        <f aca="false">E356*'Assumptions &amp; Data'!E490</f>
        <v>22871299.2</v>
      </c>
      <c r="G356" s="39" t="n">
        <f aca="false">F356*'Assumptions &amp; Data'!F490</f>
        <v>1209891.72768</v>
      </c>
      <c r="H356" s="39" t="n">
        <f aca="false">F356-G356</f>
        <v>21661407.47232</v>
      </c>
      <c r="I356" s="39" t="n">
        <f aca="false">H356*'Assumptions &amp; Data'!G490</f>
        <v>3736592.7889752</v>
      </c>
      <c r="J356" s="39" t="n">
        <f aca="false">E356*'Assumptions &amp; Data'!H490</f>
        <v>481098.56</v>
      </c>
      <c r="K356" s="39" t="n">
        <f aca="false">H356*'Assumptions &amp; Data'!I490</f>
        <v>619516.253708352</v>
      </c>
      <c r="L356" s="39" t="n">
        <f aca="false">H356*'Assumptions &amp; Data'!J490</f>
        <v>327087.252832032</v>
      </c>
      <c r="M356" s="39" t="n">
        <f aca="false">I356+J356+K356-L356</f>
        <v>4510120.34985152</v>
      </c>
      <c r="N356" s="39" t="n">
        <f aca="false">E356*'Assumptions &amp; Data'!N490</f>
        <v>1295009.6</v>
      </c>
      <c r="O356" s="39" t="n">
        <f aca="false">E356*'Assumptions &amp; Data'!O490</f>
        <v>364065.6</v>
      </c>
      <c r="P356" s="39" t="n">
        <f aca="false">H356*'Assumptions &amp; Data'!P490</f>
        <v>223112.496964896</v>
      </c>
      <c r="Q356" s="39" t="n">
        <f aca="false">M356-N356-O356-P356</f>
        <v>2627932.65288662</v>
      </c>
      <c r="R356" s="39" t="n">
        <f aca="false">'Assumptions &amp; Data'!L490*'Assumptions &amp; Data'!M490</f>
        <v>649264</v>
      </c>
      <c r="S356" s="37" t="n">
        <f aca="false">'Assumptions &amp; Data'!Q490</f>
        <v>1020000</v>
      </c>
      <c r="T356" s="37" t="n">
        <f aca="false">'Assumptions &amp; Data'!R490</f>
        <v>191492</v>
      </c>
      <c r="U356" s="37" t="n">
        <f aca="false">'Assumptions &amp; Data'!S490</f>
        <v>182395</v>
      </c>
      <c r="V356" s="39" t="n">
        <f aca="false">Q356-R356-S356-T356-U356</f>
        <v>584781.652886624</v>
      </c>
      <c r="W356" s="39" t="n">
        <f aca="false">DAY(EOMONTH(C356,0))</f>
        <v>31</v>
      </c>
      <c r="X356" s="40" t="n">
        <f aca="false">E356/W356</f>
        <v>1072.51612903226</v>
      </c>
      <c r="Y356" s="39" t="n">
        <f aca="false">R356+S356+T356+U356</f>
        <v>2043151</v>
      </c>
    </row>
    <row r="357" customFormat="false" ht="15" hidden="false" customHeight="false" outlineLevel="0" collapsed="false">
      <c r="A357" s="37" t="str">
        <f aca="false">'Assumptions &amp; Data'!A491</f>
        <v>SM0287</v>
      </c>
      <c r="B357" s="37" t="str">
        <f aca="false">'Assumptions &amp; Data'!B491</f>
        <v>DS024</v>
      </c>
      <c r="C357" s="38" t="n">
        <f aca="false">'Assumptions &amp; Data'!C491</f>
        <v>46235</v>
      </c>
      <c r="D357" s="39" t="str">
        <f aca="false">INDEX('Assumptions &amp; Data'!$B$142:$B$201,MATCH(B357,'Assumptions &amp; Data'!$A$142:$A$201,0))</f>
        <v>Mumbai MMR</v>
      </c>
      <c r="E357" s="37" t="n">
        <f aca="false">'Assumptions &amp; Data'!D491</f>
        <v>32952</v>
      </c>
      <c r="F357" s="39" t="n">
        <f aca="false">E357*'Assumptions &amp; Data'!E491</f>
        <v>22687452</v>
      </c>
      <c r="G357" s="39" t="n">
        <f aca="false">F357*'Assumptions &amp; Data'!F491</f>
        <v>1216047.4272</v>
      </c>
      <c r="H357" s="39" t="n">
        <f aca="false">F357-G357</f>
        <v>21471404.5728</v>
      </c>
      <c r="I357" s="39" t="n">
        <f aca="false">H357*'Assumptions &amp; Data'!G491</f>
        <v>3731730.11475264</v>
      </c>
      <c r="J357" s="39" t="n">
        <f aca="false">E357*'Assumptions &amp; Data'!H491</f>
        <v>469895.52</v>
      </c>
      <c r="K357" s="39" t="n">
        <f aca="false">H357*'Assumptions &amp; Data'!I491</f>
        <v>611935.0303248</v>
      </c>
      <c r="L357" s="39" t="n">
        <f aca="false">H357*'Assumptions &amp; Data'!J491</f>
        <v>339248.19225024</v>
      </c>
      <c r="M357" s="39" t="n">
        <f aca="false">I357+J357+K357-L357</f>
        <v>4474312.4728272</v>
      </c>
      <c r="N357" s="39" t="n">
        <f aca="false">E357*'Assumptions &amp; Data'!N491</f>
        <v>1313796.24</v>
      </c>
      <c r="O357" s="39" t="n">
        <f aca="false">E357*'Assumptions &amp; Data'!O491</f>
        <v>345666.48</v>
      </c>
      <c r="P357" s="39" t="n">
        <f aca="false">H357*'Assumptions &amp; Data'!P491</f>
        <v>223302.60755712</v>
      </c>
      <c r="Q357" s="39" t="n">
        <f aca="false">M357-N357-O357-P357</f>
        <v>2591547.14527008</v>
      </c>
      <c r="R357" s="39" t="n">
        <f aca="false">'Assumptions &amp; Data'!L491*'Assumptions &amp; Data'!M491</f>
        <v>649852</v>
      </c>
      <c r="S357" s="37" t="n">
        <f aca="false">'Assumptions &amp; Data'!Q491</f>
        <v>1020000</v>
      </c>
      <c r="T357" s="37" t="n">
        <f aca="false">'Assumptions &amp; Data'!R491</f>
        <v>187170</v>
      </c>
      <c r="U357" s="37" t="n">
        <f aca="false">'Assumptions &amp; Data'!S491</f>
        <v>159297</v>
      </c>
      <c r="V357" s="39" t="n">
        <f aca="false">Q357-R357-S357-T357-U357</f>
        <v>575228.145270081</v>
      </c>
      <c r="W357" s="39" t="n">
        <f aca="false">DAY(EOMONTH(C357,0))</f>
        <v>31</v>
      </c>
      <c r="X357" s="40" t="n">
        <f aca="false">E357/W357</f>
        <v>1062.96774193548</v>
      </c>
      <c r="Y357" s="39" t="n">
        <f aca="false">R357+S357+T357+U357</f>
        <v>2016319</v>
      </c>
    </row>
    <row r="358" customFormat="false" ht="15" hidden="false" customHeight="false" outlineLevel="0" collapsed="false">
      <c r="A358" s="37" t="str">
        <f aca="false">'Assumptions &amp; Data'!A492</f>
        <v>SM0288</v>
      </c>
      <c r="B358" s="37" t="str">
        <f aca="false">'Assumptions &amp; Data'!B492</f>
        <v>DS024</v>
      </c>
      <c r="C358" s="38" t="n">
        <f aca="false">'Assumptions &amp; Data'!C492</f>
        <v>46266</v>
      </c>
      <c r="D358" s="39" t="str">
        <f aca="false">INDEX('Assumptions &amp; Data'!$B$142:$B$201,MATCH(B358,'Assumptions &amp; Data'!$A$142:$A$201,0))</f>
        <v>Mumbai MMR</v>
      </c>
      <c r="E358" s="37" t="n">
        <f aca="false">'Assumptions &amp; Data'!D492</f>
        <v>36018</v>
      </c>
      <c r="F358" s="39" t="n">
        <f aca="false">E358*'Assumptions &amp; Data'!E492</f>
        <v>24488638.2</v>
      </c>
      <c r="G358" s="39" t="n">
        <f aca="false">F358*'Assumptions &amp; Data'!F492</f>
        <v>1307693.27988</v>
      </c>
      <c r="H358" s="39" t="n">
        <f aca="false">F358-G358</f>
        <v>23180944.92012</v>
      </c>
      <c r="I358" s="39" t="n">
        <f aca="false">H358*'Assumptions &amp; Data'!G492</f>
        <v>4033484.41610088</v>
      </c>
      <c r="J358" s="39" t="n">
        <f aca="false">E358*'Assumptions &amp; Data'!H492</f>
        <v>515417.58</v>
      </c>
      <c r="K358" s="39" t="n">
        <f aca="false">H358*'Assumptions &amp; Data'!I492</f>
        <v>690792.158619576</v>
      </c>
      <c r="L358" s="39" t="n">
        <f aca="false">H358*'Assumptions &amp; Data'!J492</f>
        <v>354668.457277836</v>
      </c>
      <c r="M358" s="39" t="n">
        <f aca="false">I358+J358+K358-L358</f>
        <v>4885025.69744262</v>
      </c>
      <c r="N358" s="39" t="n">
        <f aca="false">E358*'Assumptions &amp; Data'!N492</f>
        <v>1415147.22</v>
      </c>
      <c r="O358" s="39" t="n">
        <f aca="false">E358*'Assumptions &amp; Data'!O492</f>
        <v>393316.56</v>
      </c>
      <c r="P358" s="39" t="n">
        <f aca="false">H358*'Assumptions &amp; Data'!P492</f>
        <v>236445.638185224</v>
      </c>
      <c r="Q358" s="39" t="n">
        <f aca="false">M358-N358-O358-P358</f>
        <v>2840116.2792574</v>
      </c>
      <c r="R358" s="39" t="n">
        <f aca="false">'Assumptions &amp; Data'!L492*'Assumptions &amp; Data'!M492</f>
        <v>743360</v>
      </c>
      <c r="S358" s="37" t="n">
        <f aca="false">'Assumptions &amp; Data'!Q492</f>
        <v>1020000</v>
      </c>
      <c r="T358" s="37" t="n">
        <f aca="false">'Assumptions &amp; Data'!R492</f>
        <v>192745</v>
      </c>
      <c r="U358" s="37" t="n">
        <f aca="false">'Assumptions &amp; Data'!S492</f>
        <v>195440</v>
      </c>
      <c r="V358" s="39" t="n">
        <f aca="false">Q358-R358-S358-T358-U358</f>
        <v>688571.279257395</v>
      </c>
      <c r="W358" s="39" t="n">
        <f aca="false">DAY(EOMONTH(C358,0))</f>
        <v>30</v>
      </c>
      <c r="X358" s="40" t="n">
        <f aca="false">E358/W358</f>
        <v>1200.6</v>
      </c>
      <c r="Y358" s="39" t="n">
        <f aca="false">R358+S358+T358+U358</f>
        <v>2151545</v>
      </c>
    </row>
    <row r="359" customFormat="false" ht="15" hidden="false" customHeight="false" outlineLevel="0" collapsed="false">
      <c r="A359" s="37" t="str">
        <f aca="false">'Assumptions &amp; Data'!A493</f>
        <v>SM0289</v>
      </c>
      <c r="B359" s="37" t="str">
        <f aca="false">'Assumptions &amp; Data'!B493</f>
        <v>DS025</v>
      </c>
      <c r="C359" s="38" t="n">
        <f aca="false">'Assumptions &amp; Data'!C493</f>
        <v>45931</v>
      </c>
      <c r="D359" s="39" t="str">
        <f aca="false">INDEX('Assumptions &amp; Data'!$B$142:$B$201,MATCH(B359,'Assumptions &amp; Data'!$A$142:$A$201,0))</f>
        <v>Mumbai MMR</v>
      </c>
      <c r="E359" s="37" t="n">
        <f aca="false">'Assumptions &amp; Data'!D493</f>
        <v>30708</v>
      </c>
      <c r="F359" s="39" t="n">
        <f aca="false">E359*'Assumptions &amp; Data'!E493</f>
        <v>19385960.4</v>
      </c>
      <c r="G359" s="39" t="n">
        <f aca="false">F359*'Assumptions &amp; Data'!F493</f>
        <v>1143771.6636</v>
      </c>
      <c r="H359" s="39" t="n">
        <f aca="false">F359-G359</f>
        <v>18242188.7364</v>
      </c>
      <c r="I359" s="39" t="n">
        <f aca="false">H359*'Assumptions &amp; Data'!G493</f>
        <v>3048269.73785244</v>
      </c>
      <c r="J359" s="39" t="n">
        <f aca="false">E359*'Assumptions &amp; Data'!H493</f>
        <v>370952.64</v>
      </c>
      <c r="K359" s="39" t="n">
        <f aca="false">H359*'Assumptions &amp; Data'!I493</f>
        <v>488890.65813552</v>
      </c>
      <c r="L359" s="39" t="n">
        <f aca="false">H359*'Assumptions &amp; Data'!J493</f>
        <v>308292.98964516</v>
      </c>
      <c r="M359" s="39" t="n">
        <f aca="false">I359+J359+K359-L359</f>
        <v>3599820.0463428</v>
      </c>
      <c r="N359" s="39" t="n">
        <f aca="false">E359*'Assumptions &amp; Data'!N493</f>
        <v>1282980.24</v>
      </c>
      <c r="O359" s="39" t="n">
        <f aca="false">E359*'Assumptions &amp; Data'!O493</f>
        <v>330111</v>
      </c>
      <c r="P359" s="39" t="n">
        <f aca="false">H359*'Assumptions &amp; Data'!P493</f>
        <v>186070.32511128</v>
      </c>
      <c r="Q359" s="39" t="n">
        <f aca="false">M359-N359-O359-P359</f>
        <v>1800658.48123152</v>
      </c>
      <c r="R359" s="39" t="n">
        <f aca="false">'Assumptions &amp; Data'!L493*'Assumptions &amp; Data'!M493</f>
        <v>529000</v>
      </c>
      <c r="S359" s="37" t="n">
        <f aca="false">'Assumptions &amp; Data'!Q493</f>
        <v>1272000</v>
      </c>
      <c r="T359" s="37" t="n">
        <f aca="false">'Assumptions &amp; Data'!R493</f>
        <v>153418</v>
      </c>
      <c r="U359" s="37" t="n">
        <f aca="false">'Assumptions &amp; Data'!S493</f>
        <v>271036</v>
      </c>
      <c r="V359" s="39" t="n">
        <f aca="false">Q359-R359-S359-T359-U359</f>
        <v>-424795.518768481</v>
      </c>
      <c r="W359" s="39" t="n">
        <f aca="false">DAY(EOMONTH(C359,0))</f>
        <v>31</v>
      </c>
      <c r="X359" s="40" t="n">
        <f aca="false">E359/W359</f>
        <v>990.58064516129</v>
      </c>
      <c r="Y359" s="39" t="n">
        <f aca="false">R359+S359+T359+U359</f>
        <v>2225454</v>
      </c>
    </row>
    <row r="360" customFormat="false" ht="15" hidden="false" customHeight="false" outlineLevel="0" collapsed="false">
      <c r="A360" s="37" t="str">
        <f aca="false">'Assumptions &amp; Data'!A494</f>
        <v>SM0290</v>
      </c>
      <c r="B360" s="37" t="str">
        <f aca="false">'Assumptions &amp; Data'!B494</f>
        <v>DS025</v>
      </c>
      <c r="C360" s="38" t="n">
        <f aca="false">'Assumptions &amp; Data'!C494</f>
        <v>45962</v>
      </c>
      <c r="D360" s="39" t="str">
        <f aca="false">INDEX('Assumptions &amp; Data'!$B$142:$B$201,MATCH(B360,'Assumptions &amp; Data'!$A$142:$A$201,0))</f>
        <v>Mumbai MMR</v>
      </c>
      <c r="E360" s="37" t="n">
        <f aca="false">'Assumptions &amp; Data'!D494</f>
        <v>31358</v>
      </c>
      <c r="F360" s="39" t="n">
        <f aca="false">E360*'Assumptions &amp; Data'!E494</f>
        <v>20470502.4</v>
      </c>
      <c r="G360" s="39" t="n">
        <f aca="false">F360*'Assumptions &amp; Data'!F494</f>
        <v>1113595.33056</v>
      </c>
      <c r="H360" s="39" t="n">
        <f aca="false">F360-G360</f>
        <v>19356907.06944</v>
      </c>
      <c r="I360" s="39" t="n">
        <f aca="false">H360*'Assumptions &amp; Data'!G494</f>
        <v>3333259.39735757</v>
      </c>
      <c r="J360" s="39" t="n">
        <f aca="false">E360*'Assumptions &amp; Data'!H494</f>
        <v>393856.48</v>
      </c>
      <c r="K360" s="39" t="n">
        <f aca="false">H360*'Assumptions &amp; Data'!I494</f>
        <v>563285.995720704</v>
      </c>
      <c r="L360" s="39" t="n">
        <f aca="false">H360*'Assumptions &amp; Data'!J494</f>
        <v>342617.255129088</v>
      </c>
      <c r="M360" s="39" t="n">
        <f aca="false">I360+J360+K360-L360</f>
        <v>3947784.61794918</v>
      </c>
      <c r="N360" s="39" t="n">
        <f aca="false">E360*'Assumptions &amp; Data'!N494</f>
        <v>1345571.78</v>
      </c>
      <c r="O360" s="39" t="n">
        <f aca="false">E360*'Assumptions &amp; Data'!O494</f>
        <v>336157.76</v>
      </c>
      <c r="P360" s="39" t="n">
        <f aca="false">H360*'Assumptions &amp; Data'!P494</f>
        <v>185826.307866624</v>
      </c>
      <c r="Q360" s="39" t="n">
        <f aca="false">M360-N360-O360-P360</f>
        <v>2080228.77008256</v>
      </c>
      <c r="R360" s="39" t="n">
        <f aca="false">'Assumptions &amp; Data'!L494*'Assumptions &amp; Data'!M494</f>
        <v>575525</v>
      </c>
      <c r="S360" s="37" t="n">
        <f aca="false">'Assumptions &amp; Data'!Q494</f>
        <v>1272000</v>
      </c>
      <c r="T360" s="37" t="n">
        <f aca="false">'Assumptions &amp; Data'!R494</f>
        <v>155314</v>
      </c>
      <c r="U360" s="37" t="n">
        <f aca="false">'Assumptions &amp; Data'!S494</f>
        <v>259864</v>
      </c>
      <c r="V360" s="39" t="n">
        <f aca="false">Q360-R360-S360-T360-U360</f>
        <v>-182474.22991744</v>
      </c>
      <c r="W360" s="39" t="n">
        <f aca="false">DAY(EOMONTH(C360,0))</f>
        <v>30</v>
      </c>
      <c r="X360" s="40" t="n">
        <f aca="false">E360/W360</f>
        <v>1045.26666666667</v>
      </c>
      <c r="Y360" s="39" t="n">
        <f aca="false">R360+S360+T360+U360</f>
        <v>2262703</v>
      </c>
    </row>
    <row r="361" customFormat="false" ht="15" hidden="false" customHeight="false" outlineLevel="0" collapsed="false">
      <c r="A361" s="37" t="str">
        <f aca="false">'Assumptions &amp; Data'!A495</f>
        <v>SM0291</v>
      </c>
      <c r="B361" s="37" t="str">
        <f aca="false">'Assumptions &amp; Data'!B495</f>
        <v>DS025</v>
      </c>
      <c r="C361" s="38" t="n">
        <f aca="false">'Assumptions &amp; Data'!C495</f>
        <v>45992</v>
      </c>
      <c r="D361" s="39" t="str">
        <f aca="false">INDEX('Assumptions &amp; Data'!$B$142:$B$201,MATCH(B361,'Assumptions &amp; Data'!$A$142:$A$201,0))</f>
        <v>Mumbai MMR</v>
      </c>
      <c r="E361" s="37" t="n">
        <f aca="false">'Assumptions &amp; Data'!D495</f>
        <v>31417</v>
      </c>
      <c r="F361" s="39" t="n">
        <f aca="false">E361*'Assumptions &amp; Data'!E495</f>
        <v>19610491.4</v>
      </c>
      <c r="G361" s="39" t="n">
        <f aca="false">F361*'Assumptions &amp; Data'!F495</f>
        <v>1202123.12282</v>
      </c>
      <c r="H361" s="39" t="n">
        <f aca="false">F361-G361</f>
        <v>18408368.27718</v>
      </c>
      <c r="I361" s="39" t="n">
        <f aca="false">H361*'Assumptions &amp; Data'!G495</f>
        <v>3105491.72836027</v>
      </c>
      <c r="J361" s="39" t="n">
        <f aca="false">E361*'Assumptions &amp; Data'!H495</f>
        <v>390199.14</v>
      </c>
      <c r="K361" s="39" t="n">
        <f aca="false">H361*'Assumptions &amp; Data'!I495</f>
        <v>513593.474933322</v>
      </c>
      <c r="L361" s="39" t="n">
        <f aca="false">H361*'Assumptions &amp; Data'!J495</f>
        <v>322146.44485065</v>
      </c>
      <c r="M361" s="39" t="n">
        <f aca="false">I361+J361+K361-L361</f>
        <v>3687137.89844294</v>
      </c>
      <c r="N361" s="39" t="n">
        <f aca="false">E361*'Assumptions &amp; Data'!N495</f>
        <v>1382033.83</v>
      </c>
      <c r="O361" s="39" t="n">
        <f aca="false">E361*'Assumptions &amp; Data'!O495</f>
        <v>339931.94</v>
      </c>
      <c r="P361" s="39" t="n">
        <f aca="false">H361*'Assumptions &amp; Data'!P495</f>
        <v>182242.845944082</v>
      </c>
      <c r="Q361" s="39" t="n">
        <f aca="false">M361-N361-O361-P361</f>
        <v>1782929.28249886</v>
      </c>
      <c r="R361" s="39" t="n">
        <f aca="false">'Assumptions &amp; Data'!L495*'Assumptions &amp; Data'!M495</f>
        <v>553008</v>
      </c>
      <c r="S361" s="37" t="n">
        <f aca="false">'Assumptions &amp; Data'!Q495</f>
        <v>1272000</v>
      </c>
      <c r="T361" s="37" t="n">
        <f aca="false">'Assumptions &amp; Data'!R495</f>
        <v>160905</v>
      </c>
      <c r="U361" s="37" t="n">
        <f aca="false">'Assumptions &amp; Data'!S495</f>
        <v>242943</v>
      </c>
      <c r="V361" s="39" t="n">
        <f aca="false">Q361-R361-S361-T361-U361</f>
        <v>-445926.717501144</v>
      </c>
      <c r="W361" s="39" t="n">
        <f aca="false">DAY(EOMONTH(C361,0))</f>
        <v>31</v>
      </c>
      <c r="X361" s="40" t="n">
        <f aca="false">E361/W361</f>
        <v>1013.45161290323</v>
      </c>
      <c r="Y361" s="39" t="n">
        <f aca="false">R361+S361+T361+U361</f>
        <v>2228856</v>
      </c>
    </row>
    <row r="362" customFormat="false" ht="15" hidden="false" customHeight="false" outlineLevel="0" collapsed="false">
      <c r="A362" s="37" t="str">
        <f aca="false">'Assumptions &amp; Data'!A496</f>
        <v>SM0292</v>
      </c>
      <c r="B362" s="37" t="str">
        <f aca="false">'Assumptions &amp; Data'!B496</f>
        <v>DS025</v>
      </c>
      <c r="C362" s="38" t="n">
        <f aca="false">'Assumptions &amp; Data'!C496</f>
        <v>46023</v>
      </c>
      <c r="D362" s="39" t="str">
        <f aca="false">INDEX('Assumptions &amp; Data'!$B$142:$B$201,MATCH(B362,'Assumptions &amp; Data'!$A$142:$A$201,0))</f>
        <v>Mumbai MMR</v>
      </c>
      <c r="E362" s="37" t="n">
        <f aca="false">'Assumptions &amp; Data'!D496</f>
        <v>32112</v>
      </c>
      <c r="F362" s="39" t="n">
        <f aca="false">E362*'Assumptions &amp; Data'!E496</f>
        <v>20420020.8</v>
      </c>
      <c r="G362" s="39" t="n">
        <f aca="false">F362*'Assumptions &amp; Data'!F496</f>
        <v>1165983.18768</v>
      </c>
      <c r="H362" s="39" t="n">
        <f aca="false">F362-G362</f>
        <v>19254037.61232</v>
      </c>
      <c r="I362" s="39" t="n">
        <f aca="false">H362*'Assumptions &amp; Data'!G496</f>
        <v>3194244.83988389</v>
      </c>
      <c r="J362" s="39" t="n">
        <f aca="false">E362*'Assumptions &amp; Data'!H496</f>
        <v>381811.68</v>
      </c>
      <c r="K362" s="39" t="n">
        <f aca="false">H362*'Assumptions &amp; Data'!I496</f>
        <v>548740.07195112</v>
      </c>
      <c r="L362" s="39" t="n">
        <f aca="false">H362*'Assumptions &amp; Data'!J496</f>
        <v>369677.522156544</v>
      </c>
      <c r="M362" s="39" t="n">
        <f aca="false">I362+J362+K362-L362</f>
        <v>3755119.06967846</v>
      </c>
      <c r="N362" s="39" t="n">
        <f aca="false">E362*'Assumptions &amp; Data'!N496</f>
        <v>1357053.12</v>
      </c>
      <c r="O362" s="39" t="n">
        <f aca="false">E362*'Assumptions &amp; Data'!O496</f>
        <v>350984.16</v>
      </c>
      <c r="P362" s="39" t="n">
        <f aca="false">H362*'Assumptions &amp; Data'!P496</f>
        <v>194465.779884432</v>
      </c>
      <c r="Q362" s="39" t="n">
        <f aca="false">M362-N362-O362-P362</f>
        <v>1852616.00979403</v>
      </c>
      <c r="R362" s="39" t="n">
        <f aca="false">'Assumptions &amp; Data'!L496*'Assumptions &amp; Data'!M496</f>
        <v>553512</v>
      </c>
      <c r="S362" s="37" t="n">
        <f aca="false">'Assumptions &amp; Data'!Q496</f>
        <v>1272000</v>
      </c>
      <c r="T362" s="37" t="n">
        <f aca="false">'Assumptions &amp; Data'!R496</f>
        <v>156512</v>
      </c>
      <c r="U362" s="37" t="n">
        <f aca="false">'Assumptions &amp; Data'!S496</f>
        <v>259381</v>
      </c>
      <c r="V362" s="39" t="n">
        <f aca="false">Q362-R362-S362-T362-U362</f>
        <v>-388788.990205967</v>
      </c>
      <c r="W362" s="39" t="n">
        <f aca="false">DAY(EOMONTH(C362,0))</f>
        <v>31</v>
      </c>
      <c r="X362" s="40" t="n">
        <f aca="false">E362/W362</f>
        <v>1035.87096774194</v>
      </c>
      <c r="Y362" s="39" t="n">
        <f aca="false">R362+S362+T362+U362</f>
        <v>2241405</v>
      </c>
    </row>
    <row r="363" customFormat="false" ht="15" hidden="false" customHeight="false" outlineLevel="0" collapsed="false">
      <c r="A363" s="37" t="str">
        <f aca="false">'Assumptions &amp; Data'!A497</f>
        <v>SM0293</v>
      </c>
      <c r="B363" s="37" t="str">
        <f aca="false">'Assumptions &amp; Data'!B497</f>
        <v>DS025</v>
      </c>
      <c r="C363" s="38" t="n">
        <f aca="false">'Assumptions &amp; Data'!C497</f>
        <v>46054</v>
      </c>
      <c r="D363" s="39" t="str">
        <f aca="false">INDEX('Assumptions &amp; Data'!$B$142:$B$201,MATCH(B363,'Assumptions &amp; Data'!$A$142:$A$201,0))</f>
        <v>Mumbai MMR</v>
      </c>
      <c r="E363" s="37" t="n">
        <f aca="false">'Assumptions &amp; Data'!D497</f>
        <v>29705</v>
      </c>
      <c r="F363" s="39" t="n">
        <f aca="false">E363*'Assumptions &amp; Data'!E497</f>
        <v>19507273.5</v>
      </c>
      <c r="G363" s="39" t="n">
        <f aca="false">F363*'Assumptions &amp; Data'!F497</f>
        <v>1129471.13565</v>
      </c>
      <c r="H363" s="39" t="n">
        <f aca="false">F363-G363</f>
        <v>18377802.36435</v>
      </c>
      <c r="I363" s="39" t="n">
        <f aca="false">H363*'Assumptions &amp; Data'!G497</f>
        <v>3059904.09366428</v>
      </c>
      <c r="J363" s="39" t="n">
        <f aca="false">E363*'Assumptions &amp; Data'!H497</f>
        <v>353489.5</v>
      </c>
      <c r="K363" s="39" t="n">
        <f aca="false">H363*'Assumptions &amp; Data'!I497</f>
        <v>514578.4662018</v>
      </c>
      <c r="L363" s="39" t="n">
        <f aca="false">H363*'Assumptions &amp; Data'!J497</f>
        <v>316098.20066682</v>
      </c>
      <c r="M363" s="39" t="n">
        <f aca="false">I363+J363+K363-L363</f>
        <v>3611873.85919926</v>
      </c>
      <c r="N363" s="39" t="n">
        <f aca="false">E363*'Assumptions &amp; Data'!N497</f>
        <v>1284147.15</v>
      </c>
      <c r="O363" s="39" t="n">
        <f aca="false">E363*'Assumptions &amp; Data'!O497</f>
        <v>326755</v>
      </c>
      <c r="P363" s="39" t="n">
        <f aca="false">H363*'Assumptions &amp; Data'!P497</f>
        <v>172751.34222489</v>
      </c>
      <c r="Q363" s="39" t="n">
        <f aca="false">M363-N363-O363-P363</f>
        <v>1828220.36697437</v>
      </c>
      <c r="R363" s="39" t="n">
        <f aca="false">'Assumptions &amp; Data'!L497*'Assumptions &amp; Data'!M497</f>
        <v>530932</v>
      </c>
      <c r="S363" s="37" t="n">
        <f aca="false">'Assumptions &amp; Data'!Q497</f>
        <v>1272000</v>
      </c>
      <c r="T363" s="37" t="n">
        <f aca="false">'Assumptions &amp; Data'!R497</f>
        <v>165484</v>
      </c>
      <c r="U363" s="37" t="n">
        <f aca="false">'Assumptions &amp; Data'!S497</f>
        <v>230231</v>
      </c>
      <c r="V363" s="39" t="n">
        <f aca="false">Q363-R363-S363-T363-U363</f>
        <v>-370426.633025635</v>
      </c>
      <c r="W363" s="39" t="n">
        <f aca="false">DAY(EOMONTH(C363,0))</f>
        <v>28</v>
      </c>
      <c r="X363" s="40" t="n">
        <f aca="false">E363/W363</f>
        <v>1060.89285714286</v>
      </c>
      <c r="Y363" s="39" t="n">
        <f aca="false">R363+S363+T363+U363</f>
        <v>2198647</v>
      </c>
    </row>
    <row r="364" customFormat="false" ht="15" hidden="false" customHeight="false" outlineLevel="0" collapsed="false">
      <c r="A364" s="37" t="str">
        <f aca="false">'Assumptions &amp; Data'!A498</f>
        <v>SM0294</v>
      </c>
      <c r="B364" s="37" t="str">
        <f aca="false">'Assumptions &amp; Data'!B498</f>
        <v>DS025</v>
      </c>
      <c r="C364" s="38" t="n">
        <f aca="false">'Assumptions &amp; Data'!C498</f>
        <v>46082</v>
      </c>
      <c r="D364" s="39" t="str">
        <f aca="false">INDEX('Assumptions &amp; Data'!$B$142:$B$201,MATCH(B364,'Assumptions &amp; Data'!$A$142:$A$201,0))</f>
        <v>Mumbai MMR</v>
      </c>
      <c r="E364" s="37" t="n">
        <f aca="false">'Assumptions &amp; Data'!D498</f>
        <v>35613</v>
      </c>
      <c r="F364" s="39" t="n">
        <f aca="false">E364*'Assumptions &amp; Data'!E498</f>
        <v>22724655.3</v>
      </c>
      <c r="G364" s="39" t="n">
        <f aca="false">F364*'Assumptions &amp; Data'!F498</f>
        <v>1254400.97256</v>
      </c>
      <c r="H364" s="39" t="n">
        <f aca="false">F364-G364</f>
        <v>21470254.32744</v>
      </c>
      <c r="I364" s="39" t="n">
        <f aca="false">H364*'Assumptions &amp; Data'!G498</f>
        <v>3682148.61715596</v>
      </c>
      <c r="J364" s="39" t="n">
        <f aca="false">E364*'Assumptions &amp; Data'!H498</f>
        <v>428424.39</v>
      </c>
      <c r="K364" s="39" t="n">
        <f aca="false">H364*'Assumptions &amp; Data'!I498</f>
        <v>641960.604390456</v>
      </c>
      <c r="L364" s="39" t="n">
        <f aca="false">H364*'Assumptions &amp; Data'!J498</f>
        <v>380023.501595688</v>
      </c>
      <c r="M364" s="39" t="n">
        <f aca="false">I364+J364+K364-L364</f>
        <v>4372510.10995073</v>
      </c>
      <c r="N364" s="39" t="n">
        <f aca="false">E364*'Assumptions &amp; Data'!N498</f>
        <v>1510347.33</v>
      </c>
      <c r="O364" s="39" t="n">
        <f aca="false">E364*'Assumptions &amp; Data'!O498</f>
        <v>388537.83</v>
      </c>
      <c r="P364" s="39" t="n">
        <f aca="false">H364*'Assumptions &amp; Data'!P498</f>
        <v>208261.466976168</v>
      </c>
      <c r="Q364" s="39" t="n">
        <f aca="false">M364-N364-O364-P364</f>
        <v>2265363.48297456</v>
      </c>
      <c r="R364" s="39" t="n">
        <f aca="false">'Assumptions &amp; Data'!L498*'Assumptions &amp; Data'!M498</f>
        <v>600730</v>
      </c>
      <c r="S364" s="37" t="n">
        <f aca="false">'Assumptions &amp; Data'!Q498</f>
        <v>1272000</v>
      </c>
      <c r="T364" s="37" t="n">
        <f aca="false">'Assumptions &amp; Data'!R498</f>
        <v>153795</v>
      </c>
      <c r="U364" s="37" t="n">
        <f aca="false">'Assumptions &amp; Data'!S498</f>
        <v>234310</v>
      </c>
      <c r="V364" s="39" t="n">
        <f aca="false">Q364-R364-S364-T364-U364</f>
        <v>4528.48297456047</v>
      </c>
      <c r="W364" s="39" t="n">
        <f aca="false">DAY(EOMONTH(C364,0))</f>
        <v>31</v>
      </c>
      <c r="X364" s="40" t="n">
        <f aca="false">E364/W364</f>
        <v>1148.8064516129</v>
      </c>
      <c r="Y364" s="39" t="n">
        <f aca="false">R364+S364+T364+U364</f>
        <v>2260835</v>
      </c>
    </row>
    <row r="365" customFormat="false" ht="15" hidden="false" customHeight="false" outlineLevel="0" collapsed="false">
      <c r="A365" s="37" t="str">
        <f aca="false">'Assumptions &amp; Data'!A499</f>
        <v>SM0295</v>
      </c>
      <c r="B365" s="37" t="str">
        <f aca="false">'Assumptions &amp; Data'!B499</f>
        <v>DS025</v>
      </c>
      <c r="C365" s="38" t="n">
        <f aca="false">'Assumptions &amp; Data'!C499</f>
        <v>46113</v>
      </c>
      <c r="D365" s="39" t="str">
        <f aca="false">INDEX('Assumptions &amp; Data'!$B$142:$B$201,MATCH(B365,'Assumptions &amp; Data'!$A$142:$A$201,0))</f>
        <v>Mumbai MMR</v>
      </c>
      <c r="E365" s="37" t="n">
        <f aca="false">'Assumptions &amp; Data'!D499</f>
        <v>36084</v>
      </c>
      <c r="F365" s="39" t="n">
        <f aca="false">E365*'Assumptions &amp; Data'!E499</f>
        <v>22931382</v>
      </c>
      <c r="G365" s="39" t="n">
        <f aca="false">F365*'Assumptions &amp; Data'!F499</f>
        <v>1263519.1482</v>
      </c>
      <c r="H365" s="39" t="n">
        <f aca="false">F365-G365</f>
        <v>21667862.8518</v>
      </c>
      <c r="I365" s="39" t="n">
        <f aca="false">H365*'Assumptions &amp; Data'!G499</f>
        <v>3707371.33394298</v>
      </c>
      <c r="J365" s="39" t="n">
        <f aca="false">E365*'Assumptions &amp; Data'!H499</f>
        <v>427234.56</v>
      </c>
      <c r="K365" s="39" t="n">
        <f aca="false">H365*'Assumptions &amp; Data'!I499</f>
        <v>678204.10726134</v>
      </c>
      <c r="L365" s="39" t="n">
        <f aca="false">H365*'Assumptions &amp; Data'!J499</f>
        <v>394355.10390276</v>
      </c>
      <c r="M365" s="39" t="n">
        <f aca="false">I365+J365+K365-L365</f>
        <v>4418454.89730156</v>
      </c>
      <c r="N365" s="39" t="n">
        <f aca="false">E365*'Assumptions &amp; Data'!N499</f>
        <v>1556302.92</v>
      </c>
      <c r="O365" s="39" t="n">
        <f aca="false">E365*'Assumptions &amp; Data'!O499</f>
        <v>382851.24</v>
      </c>
      <c r="P365" s="39" t="n">
        <f aca="false">H365*'Assumptions &amp; Data'!P499</f>
        <v>214511.84223282</v>
      </c>
      <c r="Q365" s="39" t="n">
        <f aca="false">M365-N365-O365-P365</f>
        <v>2264788.89506874</v>
      </c>
      <c r="R365" s="39" t="n">
        <f aca="false">'Assumptions &amp; Data'!L499*'Assumptions &amp; Data'!M499</f>
        <v>624375</v>
      </c>
      <c r="S365" s="37" t="n">
        <f aca="false">'Assumptions &amp; Data'!Q499</f>
        <v>1272000</v>
      </c>
      <c r="T365" s="37" t="n">
        <f aca="false">'Assumptions &amp; Data'!R499</f>
        <v>168475</v>
      </c>
      <c r="U365" s="37" t="n">
        <f aca="false">'Assumptions &amp; Data'!S499</f>
        <v>233449</v>
      </c>
      <c r="V365" s="39" t="n">
        <f aca="false">Q365-R365-S365-T365-U365</f>
        <v>-33510.1049312609</v>
      </c>
      <c r="W365" s="39" t="n">
        <f aca="false">DAY(EOMONTH(C365,0))</f>
        <v>30</v>
      </c>
      <c r="X365" s="40" t="n">
        <f aca="false">E365/W365</f>
        <v>1202.8</v>
      </c>
      <c r="Y365" s="39" t="n">
        <f aca="false">R365+S365+T365+U365</f>
        <v>2298299</v>
      </c>
    </row>
    <row r="366" customFormat="false" ht="15" hidden="false" customHeight="false" outlineLevel="0" collapsed="false">
      <c r="A366" s="37" t="str">
        <f aca="false">'Assumptions &amp; Data'!A500</f>
        <v>SM0296</v>
      </c>
      <c r="B366" s="37" t="str">
        <f aca="false">'Assumptions &amp; Data'!B500</f>
        <v>DS025</v>
      </c>
      <c r="C366" s="38" t="n">
        <f aca="false">'Assumptions &amp; Data'!C500</f>
        <v>46143</v>
      </c>
      <c r="D366" s="39" t="str">
        <f aca="false">INDEX('Assumptions &amp; Data'!$B$142:$B$201,MATCH(B366,'Assumptions &amp; Data'!$A$142:$A$201,0))</f>
        <v>Mumbai MMR</v>
      </c>
      <c r="E366" s="37" t="n">
        <f aca="false">'Assumptions &amp; Data'!D500</f>
        <v>40191</v>
      </c>
      <c r="F366" s="39" t="n">
        <f aca="false">E366*'Assumptions &amp; Data'!E500</f>
        <v>26156302.8</v>
      </c>
      <c r="G366" s="39" t="n">
        <f aca="false">F366*'Assumptions &amp; Data'!F500</f>
        <v>1415055.98148</v>
      </c>
      <c r="H366" s="39" t="n">
        <f aca="false">F366-G366</f>
        <v>24741246.81852</v>
      </c>
      <c r="I366" s="39" t="n">
        <f aca="false">H366*'Assumptions &amp; Data'!G500</f>
        <v>4210960.2085121</v>
      </c>
      <c r="J366" s="39" t="n">
        <f aca="false">E366*'Assumptions &amp; Data'!H500</f>
        <v>483899.64</v>
      </c>
      <c r="K366" s="39" t="n">
        <f aca="false">H366*'Assumptions &amp; Data'!I500</f>
        <v>804090.5216019</v>
      </c>
      <c r="L366" s="39" t="n">
        <f aca="false">H366*'Assumptions &amp; Data'!J500</f>
        <v>428023.569960396</v>
      </c>
      <c r="M366" s="39" t="n">
        <f aca="false">I366+J366+K366-L366</f>
        <v>5070926.80015361</v>
      </c>
      <c r="N366" s="39" t="n">
        <f aca="false">E366*'Assumptions &amp; Data'!N500</f>
        <v>1740672.21</v>
      </c>
      <c r="O366" s="39" t="n">
        <f aca="false">E366*'Assumptions &amp; Data'!O500</f>
        <v>434062.8</v>
      </c>
      <c r="P366" s="39" t="n">
        <f aca="false">H366*'Assumptions &amp; Data'!P500</f>
        <v>249886.592867052</v>
      </c>
      <c r="Q366" s="39" t="n">
        <f aca="false">M366-N366-O366-P366</f>
        <v>2646305.19728655</v>
      </c>
      <c r="R366" s="39" t="n">
        <f aca="false">'Assumptions &amp; Data'!L500*'Assumptions &amp; Data'!M500</f>
        <v>648088</v>
      </c>
      <c r="S366" s="37" t="n">
        <f aca="false">'Assumptions &amp; Data'!Q500</f>
        <v>1272000</v>
      </c>
      <c r="T366" s="37" t="n">
        <f aca="false">'Assumptions &amp; Data'!R500</f>
        <v>163909</v>
      </c>
      <c r="U366" s="37" t="n">
        <f aca="false">'Assumptions &amp; Data'!S500</f>
        <v>266360</v>
      </c>
      <c r="V366" s="39" t="n">
        <f aca="false">Q366-R366-S366-T366-U366</f>
        <v>295948.197286555</v>
      </c>
      <c r="W366" s="39" t="n">
        <f aca="false">DAY(EOMONTH(C366,0))</f>
        <v>31</v>
      </c>
      <c r="X366" s="40" t="n">
        <f aca="false">E366/W366</f>
        <v>1296.48387096774</v>
      </c>
      <c r="Y366" s="39" t="n">
        <f aca="false">R366+S366+T366+U366</f>
        <v>2350357</v>
      </c>
    </row>
    <row r="367" customFormat="false" ht="15" hidden="false" customHeight="false" outlineLevel="0" collapsed="false">
      <c r="A367" s="37" t="str">
        <f aca="false">'Assumptions &amp; Data'!A501</f>
        <v>SM0297</v>
      </c>
      <c r="B367" s="37" t="str">
        <f aca="false">'Assumptions &amp; Data'!B501</f>
        <v>DS025</v>
      </c>
      <c r="C367" s="38" t="n">
        <f aca="false">'Assumptions &amp; Data'!C501</f>
        <v>46174</v>
      </c>
      <c r="D367" s="39" t="str">
        <f aca="false">INDEX('Assumptions &amp; Data'!$B$142:$B$201,MATCH(B367,'Assumptions &amp; Data'!$A$142:$A$201,0))</f>
        <v>Mumbai MMR</v>
      </c>
      <c r="E367" s="37" t="n">
        <f aca="false">'Assumptions &amp; Data'!D501</f>
        <v>39399</v>
      </c>
      <c r="F367" s="39" t="n">
        <f aca="false">E367*'Assumptions &amp; Data'!E501</f>
        <v>25396595.4</v>
      </c>
      <c r="G367" s="39" t="n">
        <f aca="false">F367*'Assumptions &amp; Data'!F501</f>
        <v>1318083.30126</v>
      </c>
      <c r="H367" s="39" t="n">
        <f aca="false">F367-G367</f>
        <v>24078512.09874</v>
      </c>
      <c r="I367" s="39" t="n">
        <f aca="false">H367*'Assumptions &amp; Data'!G501</f>
        <v>4086123.50315618</v>
      </c>
      <c r="J367" s="39" t="n">
        <f aca="false">E367*'Assumptions &amp; Data'!H501</f>
        <v>449148.6</v>
      </c>
      <c r="K367" s="39" t="n">
        <f aca="false">H367*'Assumptions &amp; Data'!I501</f>
        <v>756065.279900436</v>
      </c>
      <c r="L367" s="39" t="n">
        <f aca="false">H367*'Assumptions &amp; Data'!J501</f>
        <v>440636.771406942</v>
      </c>
      <c r="M367" s="39" t="n">
        <f aca="false">I367+J367+K367-L367</f>
        <v>4850700.61164967</v>
      </c>
      <c r="N367" s="39" t="n">
        <f aca="false">E367*'Assumptions &amp; Data'!N501</f>
        <v>1700460.84</v>
      </c>
      <c r="O367" s="39" t="n">
        <f aca="false">E367*'Assumptions &amp; Data'!O501</f>
        <v>440086.83</v>
      </c>
      <c r="P367" s="39" t="n">
        <f aca="false">H367*'Assumptions &amp; Data'!P501</f>
        <v>243192.972197274</v>
      </c>
      <c r="Q367" s="39" t="n">
        <f aca="false">M367-N367-O367-P367</f>
        <v>2466959.9694524</v>
      </c>
      <c r="R367" s="39" t="n">
        <f aca="false">'Assumptions &amp; Data'!L501*'Assumptions &amp; Data'!M501</f>
        <v>718177</v>
      </c>
      <c r="S367" s="37" t="n">
        <f aca="false">'Assumptions &amp; Data'!Q501</f>
        <v>1272000</v>
      </c>
      <c r="T367" s="37" t="n">
        <f aca="false">'Assumptions &amp; Data'!R501</f>
        <v>168853</v>
      </c>
      <c r="U367" s="37" t="n">
        <f aca="false">'Assumptions &amp; Data'!S501</f>
        <v>217991</v>
      </c>
      <c r="V367" s="39" t="n">
        <f aca="false">Q367-R367-S367-T367-U367</f>
        <v>89938.9694523984</v>
      </c>
      <c r="W367" s="39" t="n">
        <f aca="false">DAY(EOMONTH(C367,0))</f>
        <v>30</v>
      </c>
      <c r="X367" s="40" t="n">
        <f aca="false">E367/W367</f>
        <v>1313.3</v>
      </c>
      <c r="Y367" s="39" t="n">
        <f aca="false">R367+S367+T367+U367</f>
        <v>2377021</v>
      </c>
    </row>
    <row r="368" customFormat="false" ht="15" hidden="false" customHeight="false" outlineLevel="0" collapsed="false">
      <c r="A368" s="37" t="str">
        <f aca="false">'Assumptions &amp; Data'!A502</f>
        <v>SM0298</v>
      </c>
      <c r="B368" s="37" t="str">
        <f aca="false">'Assumptions &amp; Data'!B502</f>
        <v>DS025</v>
      </c>
      <c r="C368" s="38" t="n">
        <f aca="false">'Assumptions &amp; Data'!C502</f>
        <v>46204</v>
      </c>
      <c r="D368" s="39" t="str">
        <f aca="false">INDEX('Assumptions &amp; Data'!$B$142:$B$201,MATCH(B368,'Assumptions &amp; Data'!$A$142:$A$201,0))</f>
        <v>Mumbai MMR</v>
      </c>
      <c r="E368" s="37" t="n">
        <f aca="false">'Assumptions &amp; Data'!D502</f>
        <v>36900</v>
      </c>
      <c r="F368" s="39" t="n">
        <f aca="false">E368*'Assumptions &amp; Data'!E502</f>
        <v>23568030</v>
      </c>
      <c r="G368" s="39" t="n">
        <f aca="false">F368*'Assumptions &amp; Data'!F502</f>
        <v>1300955.256</v>
      </c>
      <c r="H368" s="39" t="n">
        <f aca="false">F368-G368</f>
        <v>22267074.744</v>
      </c>
      <c r="I368" s="39" t="n">
        <f aca="false">H368*'Assumptions &amp; Data'!G502</f>
        <v>3874471.005456</v>
      </c>
      <c r="J368" s="39" t="n">
        <f aca="false">E368*'Assumptions &amp; Data'!H502</f>
        <v>438372</v>
      </c>
      <c r="K368" s="39" t="n">
        <f aca="false">H368*'Assumptions &amp; Data'!I502</f>
        <v>665785.5348456</v>
      </c>
      <c r="L368" s="39" t="n">
        <f aca="false">H368*'Assumptions &amp; Data'!J502</f>
        <v>380766.9781224</v>
      </c>
      <c r="M368" s="39" t="n">
        <f aca="false">I368+J368+K368-L368</f>
        <v>4597861.5621792</v>
      </c>
      <c r="N368" s="39" t="n">
        <f aca="false">E368*'Assumptions &amp; Data'!N502</f>
        <v>1623600</v>
      </c>
      <c r="O368" s="39" t="n">
        <f aca="false">E368*'Assumptions &amp; Data'!O502</f>
        <v>402948</v>
      </c>
      <c r="P368" s="39" t="n">
        <f aca="false">H368*'Assumptions &amp; Data'!P502</f>
        <v>222670.74744</v>
      </c>
      <c r="Q368" s="39" t="n">
        <f aca="false">M368-N368-O368-P368</f>
        <v>2348642.8147392</v>
      </c>
      <c r="R368" s="39" t="n">
        <f aca="false">'Assumptions &amp; Data'!L502*'Assumptions &amp; Data'!M502</f>
        <v>626076</v>
      </c>
      <c r="S368" s="37" t="n">
        <f aca="false">'Assumptions &amp; Data'!Q502</f>
        <v>1272000</v>
      </c>
      <c r="T368" s="37" t="n">
        <f aca="false">'Assumptions &amp; Data'!R502</f>
        <v>162398</v>
      </c>
      <c r="U368" s="37" t="n">
        <f aca="false">'Assumptions &amp; Data'!S502</f>
        <v>238611</v>
      </c>
      <c r="V368" s="39" t="n">
        <f aca="false">Q368-R368-S368-T368-U368</f>
        <v>49557.8147391994</v>
      </c>
      <c r="W368" s="39" t="n">
        <f aca="false">DAY(EOMONTH(C368,0))</f>
        <v>31</v>
      </c>
      <c r="X368" s="40" t="n">
        <f aca="false">E368/W368</f>
        <v>1190.32258064516</v>
      </c>
      <c r="Y368" s="39" t="n">
        <f aca="false">R368+S368+T368+U368</f>
        <v>2299085</v>
      </c>
    </row>
    <row r="369" customFormat="false" ht="15" hidden="false" customHeight="false" outlineLevel="0" collapsed="false">
      <c r="A369" s="37" t="str">
        <f aca="false">'Assumptions &amp; Data'!A503</f>
        <v>SM0299</v>
      </c>
      <c r="B369" s="37" t="str">
        <f aca="false">'Assumptions &amp; Data'!B503</f>
        <v>DS025</v>
      </c>
      <c r="C369" s="38" t="n">
        <f aca="false">'Assumptions &amp; Data'!C503</f>
        <v>46235</v>
      </c>
      <c r="D369" s="39" t="str">
        <f aca="false">INDEX('Assumptions &amp; Data'!$B$142:$B$201,MATCH(B369,'Assumptions &amp; Data'!$A$142:$A$201,0))</f>
        <v>Mumbai MMR</v>
      </c>
      <c r="E369" s="37" t="n">
        <f aca="false">'Assumptions &amp; Data'!D503</f>
        <v>40636</v>
      </c>
      <c r="F369" s="39" t="n">
        <f aca="false">E369*'Assumptions &amp; Data'!E503</f>
        <v>26311810</v>
      </c>
      <c r="G369" s="39" t="n">
        <f aca="false">F369*'Assumptions &amp; Data'!F503</f>
        <v>1494510.808</v>
      </c>
      <c r="H369" s="39" t="n">
        <f aca="false">F369-G369</f>
        <v>24817299.192</v>
      </c>
      <c r="I369" s="39" t="n">
        <f aca="false">H369*'Assumptions &amp; Data'!G503</f>
        <v>4226386.0523976</v>
      </c>
      <c r="J369" s="39" t="n">
        <f aca="false">E369*'Assumptions &amp; Data'!H503</f>
        <v>500635.52</v>
      </c>
      <c r="K369" s="39" t="n">
        <f aca="false">H369*'Assumptions &amp; Data'!I503</f>
        <v>786708.3843864</v>
      </c>
      <c r="L369" s="39" t="n">
        <f aca="false">H369*'Assumptions &amp; Data'!J503</f>
        <v>424375.8161832</v>
      </c>
      <c r="M369" s="39" t="n">
        <f aca="false">I369+J369+K369-L369</f>
        <v>5089354.1406008</v>
      </c>
      <c r="N369" s="39" t="n">
        <f aca="false">E369*'Assumptions &amp; Data'!N503</f>
        <v>1769291.44</v>
      </c>
      <c r="O369" s="39" t="n">
        <f aca="false">E369*'Assumptions &amp; Data'!O503</f>
        <v>460405.88</v>
      </c>
      <c r="P369" s="39" t="n">
        <f aca="false">H369*'Assumptions &amp; Data'!P503</f>
        <v>250654.7218392</v>
      </c>
      <c r="Q369" s="39" t="n">
        <f aca="false">M369-N369-O369-P369</f>
        <v>2609002.0987616</v>
      </c>
      <c r="R369" s="39" t="n">
        <f aca="false">'Assumptions &amp; Data'!L503*'Assumptions &amp; Data'!M503</f>
        <v>696270</v>
      </c>
      <c r="S369" s="37" t="n">
        <f aca="false">'Assumptions &amp; Data'!Q503</f>
        <v>1272000</v>
      </c>
      <c r="T369" s="37" t="n">
        <f aca="false">'Assumptions &amp; Data'!R503</f>
        <v>161035</v>
      </c>
      <c r="U369" s="37" t="n">
        <f aca="false">'Assumptions &amp; Data'!S503</f>
        <v>225201</v>
      </c>
      <c r="V369" s="39" t="n">
        <f aca="false">Q369-R369-S369-T369-U369</f>
        <v>254496.0987616</v>
      </c>
      <c r="W369" s="39" t="n">
        <f aca="false">DAY(EOMONTH(C369,0))</f>
        <v>31</v>
      </c>
      <c r="X369" s="40" t="n">
        <f aca="false">E369/W369</f>
        <v>1310.83870967742</v>
      </c>
      <c r="Y369" s="39" t="n">
        <f aca="false">R369+S369+T369+U369</f>
        <v>2354506</v>
      </c>
    </row>
    <row r="370" customFormat="false" ht="15" hidden="false" customHeight="false" outlineLevel="0" collapsed="false">
      <c r="A370" s="37" t="str">
        <f aca="false">'Assumptions &amp; Data'!A504</f>
        <v>SM0300</v>
      </c>
      <c r="B370" s="37" t="str">
        <f aca="false">'Assumptions &amp; Data'!B504</f>
        <v>DS025</v>
      </c>
      <c r="C370" s="38" t="n">
        <f aca="false">'Assumptions &amp; Data'!C504</f>
        <v>46266</v>
      </c>
      <c r="D370" s="39" t="str">
        <f aca="false">INDEX('Assumptions &amp; Data'!$B$142:$B$201,MATCH(B370,'Assumptions &amp; Data'!$A$142:$A$201,0))</f>
        <v>Mumbai MMR</v>
      </c>
      <c r="E370" s="37" t="n">
        <f aca="false">'Assumptions &amp; Data'!D504</f>
        <v>39413</v>
      </c>
      <c r="F370" s="39" t="n">
        <f aca="false">E370*'Assumptions &amp; Data'!E504</f>
        <v>24944487.7</v>
      </c>
      <c r="G370" s="39" t="n">
        <f aca="false">F370*'Assumptions &amp; Data'!F504</f>
        <v>1304596.70671</v>
      </c>
      <c r="H370" s="39" t="n">
        <f aca="false">F370-G370</f>
        <v>23639890.99329</v>
      </c>
      <c r="I370" s="39" t="n">
        <f aca="false">H370*'Assumptions &amp; Data'!G504</f>
        <v>4004597.53426333</v>
      </c>
      <c r="J370" s="39" t="n">
        <f aca="false">E370*'Assumptions &amp; Data'!H504</f>
        <v>499756.84</v>
      </c>
      <c r="K370" s="39" t="n">
        <f aca="false">H370*'Assumptions &amp; Data'!I504</f>
        <v>747020.555387964</v>
      </c>
      <c r="L370" s="39" t="n">
        <f aca="false">H370*'Assumptions &amp; Data'!J504</f>
        <v>420790.059680562</v>
      </c>
      <c r="M370" s="39" t="n">
        <f aca="false">I370+J370+K370-L370</f>
        <v>4830584.86997073</v>
      </c>
      <c r="N370" s="39" t="n">
        <f aca="false">E370*'Assumptions &amp; Data'!N504</f>
        <v>1714859.63</v>
      </c>
      <c r="O370" s="39" t="n">
        <f aca="false">E370*'Assumptions &amp; Data'!O504</f>
        <v>421719.1</v>
      </c>
      <c r="P370" s="39" t="n">
        <f aca="false">H370*'Assumptions &amp; Data'!P504</f>
        <v>236398.9099329</v>
      </c>
      <c r="Q370" s="39" t="n">
        <f aca="false">M370-N370-O370-P370</f>
        <v>2457607.23003783</v>
      </c>
      <c r="R370" s="39" t="n">
        <f aca="false">'Assumptions &amp; Data'!L504*'Assumptions &amp; Data'!M504</f>
        <v>720130</v>
      </c>
      <c r="S370" s="37" t="n">
        <f aca="false">'Assumptions &amp; Data'!Q504</f>
        <v>1272000</v>
      </c>
      <c r="T370" s="37" t="n">
        <f aca="false">'Assumptions &amp; Data'!R504</f>
        <v>159353</v>
      </c>
      <c r="U370" s="37" t="n">
        <f aca="false">'Assumptions &amp; Data'!S504</f>
        <v>235730</v>
      </c>
      <c r="V370" s="39" t="n">
        <f aca="false">Q370-R370-S370-T370-U370</f>
        <v>70394.230037828</v>
      </c>
      <c r="W370" s="39" t="n">
        <f aca="false">DAY(EOMONTH(C370,0))</f>
        <v>30</v>
      </c>
      <c r="X370" s="40" t="n">
        <f aca="false">E370/W370</f>
        <v>1313.76666666667</v>
      </c>
      <c r="Y370" s="39" t="n">
        <f aca="false">R370+S370+T370+U370</f>
        <v>2387213</v>
      </c>
    </row>
    <row r="371" customFormat="false" ht="15" hidden="false" customHeight="false" outlineLevel="0" collapsed="false">
      <c r="A371" s="37" t="str">
        <f aca="false">'Assumptions &amp; Data'!A505</f>
        <v>SM0301</v>
      </c>
      <c r="B371" s="37" t="str">
        <f aca="false">'Assumptions &amp; Data'!B505</f>
        <v>DS026</v>
      </c>
      <c r="C371" s="38" t="n">
        <f aca="false">'Assumptions &amp; Data'!C505</f>
        <v>45931</v>
      </c>
      <c r="D371" s="39" t="str">
        <f aca="false">INDEX('Assumptions &amp; Data'!$B$142:$B$201,MATCH(B371,'Assumptions &amp; Data'!$A$142:$A$201,0))</f>
        <v>Mumbai MMR</v>
      </c>
      <c r="E371" s="37" t="n">
        <f aca="false">'Assumptions &amp; Data'!D505</f>
        <v>14303</v>
      </c>
      <c r="F371" s="39" t="n">
        <f aca="false">E371*'Assumptions &amp; Data'!E505</f>
        <v>9794694.4</v>
      </c>
      <c r="G371" s="39" t="n">
        <f aca="false">F371*'Assumptions &amp; Data'!F505</f>
        <v>734602.08</v>
      </c>
      <c r="H371" s="39" t="n">
        <f aca="false">F371-G371</f>
        <v>9060092.32</v>
      </c>
      <c r="I371" s="39" t="n">
        <f aca="false">H371*'Assumptions &amp; Data'!G505</f>
        <v>1562865.9252</v>
      </c>
      <c r="J371" s="39" t="n">
        <f aca="false">E371*'Assumptions &amp; Data'!H505</f>
        <v>170491.76</v>
      </c>
      <c r="K371" s="39" t="n">
        <f aca="false">H371*'Assumptions &amp; Data'!I505</f>
        <v>191167.947952</v>
      </c>
      <c r="L371" s="39" t="n">
        <f aca="false">H371*'Assumptions &amp; Data'!J505</f>
        <v>229220.335696</v>
      </c>
      <c r="M371" s="39" t="n">
        <f aca="false">I371+J371+K371-L371</f>
        <v>1695305.297456</v>
      </c>
      <c r="N371" s="39" t="n">
        <f aca="false">E371*'Assumptions &amp; Data'!N505</f>
        <v>712575.46</v>
      </c>
      <c r="O371" s="39" t="n">
        <f aca="false">E371*'Assumptions &amp; Data'!O505</f>
        <v>153042.1</v>
      </c>
      <c r="P371" s="39" t="n">
        <f aca="false">H371*'Assumptions &amp; Data'!P505</f>
        <v>89694.913968</v>
      </c>
      <c r="Q371" s="39" t="n">
        <f aca="false">M371-N371-O371-P371</f>
        <v>739992.823488</v>
      </c>
      <c r="R371" s="39" t="n">
        <f aca="false">'Assumptions &amp; Data'!L505*'Assumptions &amp; Data'!M505</f>
        <v>368000</v>
      </c>
      <c r="S371" s="37" t="n">
        <f aca="false">'Assumptions &amp; Data'!Q505</f>
        <v>1219500</v>
      </c>
      <c r="T371" s="37" t="n">
        <f aca="false">'Assumptions &amp; Data'!R505</f>
        <v>193436</v>
      </c>
      <c r="U371" s="37" t="n">
        <f aca="false">'Assumptions &amp; Data'!S505</f>
        <v>179993</v>
      </c>
      <c r="V371" s="39" t="n">
        <f aca="false">Q371-R371-S371-T371-U371</f>
        <v>-1220936.176512</v>
      </c>
      <c r="W371" s="39" t="n">
        <f aca="false">DAY(EOMONTH(C371,0))</f>
        <v>31</v>
      </c>
      <c r="X371" s="40" t="n">
        <f aca="false">E371/W371</f>
        <v>461.387096774194</v>
      </c>
      <c r="Y371" s="39" t="n">
        <f aca="false">R371+S371+T371+U371</f>
        <v>1960929</v>
      </c>
    </row>
    <row r="372" customFormat="false" ht="15" hidden="false" customHeight="false" outlineLevel="0" collapsed="false">
      <c r="A372" s="37" t="str">
        <f aca="false">'Assumptions &amp; Data'!A506</f>
        <v>SM0302</v>
      </c>
      <c r="B372" s="37" t="str">
        <f aca="false">'Assumptions &amp; Data'!B506</f>
        <v>DS026</v>
      </c>
      <c r="C372" s="38" t="n">
        <f aca="false">'Assumptions &amp; Data'!C506</f>
        <v>45962</v>
      </c>
      <c r="D372" s="39" t="str">
        <f aca="false">INDEX('Assumptions &amp; Data'!$B$142:$B$201,MATCH(B372,'Assumptions &amp; Data'!$A$142:$A$201,0))</f>
        <v>Mumbai MMR</v>
      </c>
      <c r="E372" s="37" t="n">
        <f aca="false">'Assumptions &amp; Data'!D506</f>
        <v>14770</v>
      </c>
      <c r="F372" s="39" t="n">
        <f aca="false">E372*'Assumptions &amp; Data'!E506</f>
        <v>10282874</v>
      </c>
      <c r="G372" s="39" t="n">
        <f aca="false">F372*'Assumptions &amp; Data'!F506</f>
        <v>769158.9752</v>
      </c>
      <c r="H372" s="39" t="n">
        <f aca="false">F372-G372</f>
        <v>9513715.0248</v>
      </c>
      <c r="I372" s="39" t="n">
        <f aca="false">H372*'Assumptions &amp; Data'!G506</f>
        <v>1632553.49825568</v>
      </c>
      <c r="J372" s="39" t="n">
        <f aca="false">E372*'Assumptions &amp; Data'!H506</f>
        <v>191566.9</v>
      </c>
      <c r="K372" s="39" t="n">
        <f aca="false">H372*'Assumptions &amp; Data'!I506</f>
        <v>214058.588058</v>
      </c>
      <c r="L372" s="39" t="n">
        <f aca="false">H372*'Assumptions &amp; Data'!J506</f>
        <v>222620.93158032</v>
      </c>
      <c r="M372" s="39" t="n">
        <f aca="false">I372+J372+K372-L372</f>
        <v>1815558.05473336</v>
      </c>
      <c r="N372" s="39" t="n">
        <f aca="false">E372*'Assumptions &amp; Data'!N506</f>
        <v>727865.6</v>
      </c>
      <c r="O372" s="39" t="n">
        <f aca="false">E372*'Assumptions &amp; Data'!O506</f>
        <v>156857.4</v>
      </c>
      <c r="P372" s="39" t="n">
        <f aca="false">H372*'Assumptions &amp; Data'!P506</f>
        <v>94185.77874552</v>
      </c>
      <c r="Q372" s="39" t="n">
        <f aca="false">M372-N372-O372-P372</f>
        <v>836649.27598784</v>
      </c>
      <c r="R372" s="39" t="n">
        <f aca="false">'Assumptions &amp; Data'!L506*'Assumptions &amp; Data'!M506</f>
        <v>368336</v>
      </c>
      <c r="S372" s="37" t="n">
        <f aca="false">'Assumptions &amp; Data'!Q506</f>
        <v>1219500</v>
      </c>
      <c r="T372" s="37" t="n">
        <f aca="false">'Assumptions &amp; Data'!R506</f>
        <v>172703</v>
      </c>
      <c r="U372" s="37" t="n">
        <f aca="false">'Assumptions &amp; Data'!S506</f>
        <v>172549</v>
      </c>
      <c r="V372" s="39" t="n">
        <f aca="false">Q372-R372-S372-T372-U372</f>
        <v>-1096438.72401216</v>
      </c>
      <c r="W372" s="39" t="n">
        <f aca="false">DAY(EOMONTH(C372,0))</f>
        <v>30</v>
      </c>
      <c r="X372" s="40" t="n">
        <f aca="false">E372/W372</f>
        <v>492.333333333333</v>
      </c>
      <c r="Y372" s="39" t="n">
        <f aca="false">R372+S372+T372+U372</f>
        <v>1933088</v>
      </c>
    </row>
    <row r="373" customFormat="false" ht="15" hidden="false" customHeight="false" outlineLevel="0" collapsed="false">
      <c r="A373" s="37" t="str">
        <f aca="false">'Assumptions &amp; Data'!A507</f>
        <v>SM0303</v>
      </c>
      <c r="B373" s="37" t="str">
        <f aca="false">'Assumptions &amp; Data'!B507</f>
        <v>DS026</v>
      </c>
      <c r="C373" s="38" t="n">
        <f aca="false">'Assumptions &amp; Data'!C507</f>
        <v>45992</v>
      </c>
      <c r="D373" s="39" t="str">
        <f aca="false">INDEX('Assumptions &amp; Data'!$B$142:$B$201,MATCH(B373,'Assumptions &amp; Data'!$A$142:$A$201,0))</f>
        <v>Mumbai MMR</v>
      </c>
      <c r="E373" s="37" t="n">
        <f aca="false">'Assumptions &amp; Data'!D507</f>
        <v>15794</v>
      </c>
      <c r="F373" s="39" t="n">
        <f aca="false">E373*'Assumptions &amp; Data'!E507</f>
        <v>10629362</v>
      </c>
      <c r="G373" s="39" t="n">
        <f aca="false">F373*'Assumptions &amp; Data'!F507</f>
        <v>767439.9364</v>
      </c>
      <c r="H373" s="39" t="n">
        <f aca="false">F373-G373</f>
        <v>9861922.0636</v>
      </c>
      <c r="I373" s="39" t="n">
        <f aca="false">H373*'Assumptions &amp; Data'!G507</f>
        <v>1679485.32743108</v>
      </c>
      <c r="J373" s="39" t="n">
        <f aca="false">E373*'Assumptions &amp; Data'!H507</f>
        <v>209744.32</v>
      </c>
      <c r="K373" s="39" t="n">
        <f aca="false">H373*'Assumptions &amp; Data'!I507</f>
        <v>242603.28276456</v>
      </c>
      <c r="L373" s="39" t="n">
        <f aca="false">H373*'Assumptions &amp; Data'!J507</f>
        <v>239644.70614548</v>
      </c>
      <c r="M373" s="39" t="n">
        <f aca="false">I373+J373+K373-L373</f>
        <v>1892188.22405016</v>
      </c>
      <c r="N373" s="39" t="n">
        <f aca="false">E373*'Assumptions &amp; Data'!N507</f>
        <v>784330.04</v>
      </c>
      <c r="O373" s="39" t="n">
        <f aca="false">E373*'Assumptions &amp; Data'!O507</f>
        <v>170575.2</v>
      </c>
      <c r="P373" s="39" t="n">
        <f aca="false">H373*'Assumptions &amp; Data'!P507</f>
        <v>95660.64401692</v>
      </c>
      <c r="Q373" s="39" t="n">
        <f aca="false">M373-N373-O373-P373</f>
        <v>841622.340033241</v>
      </c>
      <c r="R373" s="39" t="n">
        <f aca="false">'Assumptions &amp; Data'!L507*'Assumptions &amp; Data'!M507</f>
        <v>368672</v>
      </c>
      <c r="S373" s="37" t="n">
        <f aca="false">'Assumptions &amp; Data'!Q507</f>
        <v>1219500</v>
      </c>
      <c r="T373" s="37" t="n">
        <f aca="false">'Assumptions &amp; Data'!R507</f>
        <v>167696</v>
      </c>
      <c r="U373" s="37" t="n">
        <f aca="false">'Assumptions &amp; Data'!S507</f>
        <v>164189</v>
      </c>
      <c r="V373" s="39" t="n">
        <f aca="false">Q373-R373-S373-T373-U373</f>
        <v>-1078434.65996676</v>
      </c>
      <c r="W373" s="39" t="n">
        <f aca="false">DAY(EOMONTH(C373,0))</f>
        <v>31</v>
      </c>
      <c r="X373" s="40" t="n">
        <f aca="false">E373/W373</f>
        <v>509.483870967742</v>
      </c>
      <c r="Y373" s="39" t="n">
        <f aca="false">R373+S373+T373+U373</f>
        <v>1920057</v>
      </c>
    </row>
    <row r="374" customFormat="false" ht="15" hidden="false" customHeight="false" outlineLevel="0" collapsed="false">
      <c r="A374" s="37" t="str">
        <f aca="false">'Assumptions &amp; Data'!A508</f>
        <v>SM0304</v>
      </c>
      <c r="B374" s="37" t="str">
        <f aca="false">'Assumptions &amp; Data'!B508</f>
        <v>DS026</v>
      </c>
      <c r="C374" s="38" t="n">
        <f aca="false">'Assumptions &amp; Data'!C508</f>
        <v>46023</v>
      </c>
      <c r="D374" s="39" t="str">
        <f aca="false">INDEX('Assumptions &amp; Data'!$B$142:$B$201,MATCH(B374,'Assumptions &amp; Data'!$A$142:$A$201,0))</f>
        <v>Mumbai MMR</v>
      </c>
      <c r="E374" s="37" t="n">
        <f aca="false">'Assumptions &amp; Data'!D508</f>
        <v>16228</v>
      </c>
      <c r="F374" s="39" t="n">
        <f aca="false">E374*'Assumptions &amp; Data'!E508</f>
        <v>10924689.6</v>
      </c>
      <c r="G374" s="39" t="n">
        <f aca="false">F374*'Assumptions &amp; Data'!F508</f>
        <v>745063.83072</v>
      </c>
      <c r="H374" s="39" t="n">
        <f aca="false">F374-G374</f>
        <v>10179625.76928</v>
      </c>
      <c r="I374" s="39" t="n">
        <f aca="false">H374*'Assumptions &amp; Data'!G508</f>
        <v>1778380.62189322</v>
      </c>
      <c r="J374" s="39" t="n">
        <f aca="false">E374*'Assumptions &amp; Data'!H508</f>
        <v>207718.4</v>
      </c>
      <c r="K374" s="39" t="n">
        <f aca="false">H374*'Assumptions &amp; Data'!I508</f>
        <v>233113.430116512</v>
      </c>
      <c r="L374" s="39" t="n">
        <f aca="false">H374*'Assumptions &amp; Data'!J508</f>
        <v>235149.355270368</v>
      </c>
      <c r="M374" s="39" t="n">
        <f aca="false">I374+J374+K374-L374</f>
        <v>1984063.09673936</v>
      </c>
      <c r="N374" s="39" t="n">
        <f aca="false">E374*'Assumptions &amp; Data'!N508</f>
        <v>795172</v>
      </c>
      <c r="O374" s="39" t="n">
        <f aca="false">E374*'Assumptions &amp; Data'!O508</f>
        <v>173639.6</v>
      </c>
      <c r="P374" s="39" t="n">
        <f aca="false">H374*'Assumptions &amp; Data'!P508</f>
        <v>101796.2576928</v>
      </c>
      <c r="Q374" s="39" t="n">
        <f aca="false">M374-N374-O374-P374</f>
        <v>913455.23904656</v>
      </c>
      <c r="R374" s="39" t="n">
        <f aca="false">'Assumptions &amp; Data'!L508*'Assumptions &amp; Data'!M508</f>
        <v>369008</v>
      </c>
      <c r="S374" s="37" t="n">
        <f aca="false">'Assumptions &amp; Data'!Q508</f>
        <v>1219500</v>
      </c>
      <c r="T374" s="37" t="n">
        <f aca="false">'Assumptions &amp; Data'!R508</f>
        <v>180897</v>
      </c>
      <c r="U374" s="37" t="n">
        <f aca="false">'Assumptions &amp; Data'!S508</f>
        <v>166758</v>
      </c>
      <c r="V374" s="39" t="n">
        <f aca="false">Q374-R374-S374-T374-U374</f>
        <v>-1022707.76095344</v>
      </c>
      <c r="W374" s="39" t="n">
        <f aca="false">DAY(EOMONTH(C374,0))</f>
        <v>31</v>
      </c>
      <c r="X374" s="40" t="n">
        <f aca="false">E374/W374</f>
        <v>523.483870967742</v>
      </c>
      <c r="Y374" s="39" t="n">
        <f aca="false">R374+S374+T374+U374</f>
        <v>1936163</v>
      </c>
    </row>
    <row r="375" customFormat="false" ht="15" hidden="false" customHeight="false" outlineLevel="0" collapsed="false">
      <c r="A375" s="37" t="str">
        <f aca="false">'Assumptions &amp; Data'!A509</f>
        <v>SM0305</v>
      </c>
      <c r="B375" s="37" t="str">
        <f aca="false">'Assumptions &amp; Data'!B509</f>
        <v>DS026</v>
      </c>
      <c r="C375" s="38" t="n">
        <f aca="false">'Assumptions &amp; Data'!C509</f>
        <v>46054</v>
      </c>
      <c r="D375" s="39" t="str">
        <f aca="false">INDEX('Assumptions &amp; Data'!$B$142:$B$201,MATCH(B375,'Assumptions &amp; Data'!$A$142:$A$201,0))</f>
        <v>Mumbai MMR</v>
      </c>
      <c r="E375" s="37" t="n">
        <f aca="false">'Assumptions &amp; Data'!D509</f>
        <v>16423</v>
      </c>
      <c r="F375" s="39" t="n">
        <f aca="false">E375*'Assumptions &amp; Data'!E509</f>
        <v>11106874.9</v>
      </c>
      <c r="G375" s="39" t="n">
        <f aca="false">F375*'Assumptions &amp; Data'!F509</f>
        <v>760820.93065</v>
      </c>
      <c r="H375" s="39" t="n">
        <f aca="false">F375-G375</f>
        <v>10346053.96935</v>
      </c>
      <c r="I375" s="39" t="n">
        <f aca="false">H375*'Assumptions &amp; Data'!G509</f>
        <v>1778486.67733126</v>
      </c>
      <c r="J375" s="39" t="n">
        <f aca="false">E375*'Assumptions &amp; Data'!H509</f>
        <v>198554.07</v>
      </c>
      <c r="K375" s="39" t="n">
        <f aca="false">H375*'Assumptions &amp; Data'!I509</f>
        <v>243132.268279725</v>
      </c>
      <c r="L375" s="39" t="n">
        <f aca="false">H375*'Assumptions &amp; Data'!J509</f>
        <v>233820.81970731</v>
      </c>
      <c r="M375" s="39" t="n">
        <f aca="false">I375+J375+K375-L375</f>
        <v>1986352.19590368</v>
      </c>
      <c r="N375" s="39" t="n">
        <f aca="false">E375*'Assumptions &amp; Data'!N509</f>
        <v>813759.65</v>
      </c>
      <c r="O375" s="39" t="n">
        <f aca="false">E375*'Assumptions &amp; Data'!O509</f>
        <v>178025.32</v>
      </c>
      <c r="P375" s="39" t="n">
        <f aca="false">H375*'Assumptions &amp; Data'!P509</f>
        <v>105529.75048737</v>
      </c>
      <c r="Q375" s="39" t="n">
        <f aca="false">M375-N375-O375-P375</f>
        <v>889037.47541631</v>
      </c>
      <c r="R375" s="39" t="n">
        <f aca="false">'Assumptions &amp; Data'!L509*'Assumptions &amp; Data'!M509</f>
        <v>369344</v>
      </c>
      <c r="S375" s="37" t="n">
        <f aca="false">'Assumptions &amp; Data'!Q509</f>
        <v>1219500</v>
      </c>
      <c r="T375" s="37" t="n">
        <f aca="false">'Assumptions &amp; Data'!R509</f>
        <v>184215</v>
      </c>
      <c r="U375" s="37" t="n">
        <f aca="false">'Assumptions &amp; Data'!S509</f>
        <v>161409</v>
      </c>
      <c r="V375" s="39" t="n">
        <f aca="false">Q375-R375-S375-T375-U375</f>
        <v>-1045430.52458369</v>
      </c>
      <c r="W375" s="39" t="n">
        <f aca="false">DAY(EOMONTH(C375,0))</f>
        <v>28</v>
      </c>
      <c r="X375" s="40" t="n">
        <f aca="false">E375/W375</f>
        <v>586.535714285714</v>
      </c>
      <c r="Y375" s="39" t="n">
        <f aca="false">R375+S375+T375+U375</f>
        <v>1934468</v>
      </c>
    </row>
    <row r="376" customFormat="false" ht="15" hidden="false" customHeight="false" outlineLevel="0" collapsed="false">
      <c r="A376" s="37" t="str">
        <f aca="false">'Assumptions &amp; Data'!A510</f>
        <v>SM0306</v>
      </c>
      <c r="B376" s="37" t="str">
        <f aca="false">'Assumptions &amp; Data'!B510</f>
        <v>DS026</v>
      </c>
      <c r="C376" s="38" t="n">
        <f aca="false">'Assumptions &amp; Data'!C510</f>
        <v>46082</v>
      </c>
      <c r="D376" s="39" t="str">
        <f aca="false">INDEX('Assumptions &amp; Data'!$B$142:$B$201,MATCH(B376,'Assumptions &amp; Data'!$A$142:$A$201,0))</f>
        <v>Mumbai MMR</v>
      </c>
      <c r="E376" s="37" t="n">
        <f aca="false">'Assumptions &amp; Data'!D510</f>
        <v>18495</v>
      </c>
      <c r="F376" s="39" t="n">
        <f aca="false">E376*'Assumptions &amp; Data'!E510</f>
        <v>12532212</v>
      </c>
      <c r="G376" s="39" t="n">
        <f aca="false">F376*'Assumptions &amp; Data'!F510</f>
        <v>883520.946</v>
      </c>
      <c r="H376" s="39" t="n">
        <f aca="false">F376-G376</f>
        <v>11648691.054</v>
      </c>
      <c r="I376" s="39" t="n">
        <f aca="false">H376*'Assumptions &amp; Data'!G510</f>
        <v>1997750.515761</v>
      </c>
      <c r="J376" s="39" t="n">
        <f aca="false">E376*'Assumptions &amp; Data'!H510</f>
        <v>246353.4</v>
      </c>
      <c r="K376" s="39" t="n">
        <f aca="false">H376*'Assumptions &amp; Data'!I510</f>
        <v>270249.6324528</v>
      </c>
      <c r="L376" s="39" t="n">
        <f aca="false">H376*'Assumptions &amp; Data'!J510</f>
        <v>257436.0722934</v>
      </c>
      <c r="M376" s="39" t="n">
        <f aca="false">I376+J376+K376-L376</f>
        <v>2256917.4759204</v>
      </c>
      <c r="N376" s="39" t="n">
        <f aca="false">E376*'Assumptions &amp; Data'!N510</f>
        <v>907734.6</v>
      </c>
      <c r="O376" s="39" t="n">
        <f aca="false">E376*'Assumptions &amp; Data'!O510</f>
        <v>194937.3</v>
      </c>
      <c r="P376" s="39" t="n">
        <f aca="false">H376*'Assumptions &amp; Data'!P510</f>
        <v>115322.0414346</v>
      </c>
      <c r="Q376" s="39" t="n">
        <f aca="false">M376-N376-O376-P376</f>
        <v>1038923.5344858</v>
      </c>
      <c r="R376" s="39" t="n">
        <f aca="false">'Assumptions &amp; Data'!L510*'Assumptions &amp; Data'!M510</f>
        <v>369680</v>
      </c>
      <c r="S376" s="37" t="n">
        <f aca="false">'Assumptions &amp; Data'!Q510</f>
        <v>1219500</v>
      </c>
      <c r="T376" s="37" t="n">
        <f aca="false">'Assumptions &amp; Data'!R510</f>
        <v>173807</v>
      </c>
      <c r="U376" s="37" t="n">
        <f aca="false">'Assumptions &amp; Data'!S510</f>
        <v>174580</v>
      </c>
      <c r="V376" s="39" t="n">
        <f aca="false">Q376-R376-S376-T376-U376</f>
        <v>-898643.4655142</v>
      </c>
      <c r="W376" s="39" t="n">
        <f aca="false">DAY(EOMONTH(C376,0))</f>
        <v>31</v>
      </c>
      <c r="X376" s="40" t="n">
        <f aca="false">E376/W376</f>
        <v>596.612903225807</v>
      </c>
      <c r="Y376" s="39" t="n">
        <f aca="false">R376+S376+T376+U376</f>
        <v>1937567</v>
      </c>
    </row>
    <row r="377" customFormat="false" ht="15" hidden="false" customHeight="false" outlineLevel="0" collapsed="false">
      <c r="A377" s="37" t="str">
        <f aca="false">'Assumptions &amp; Data'!A511</f>
        <v>SM0307</v>
      </c>
      <c r="B377" s="37" t="str">
        <f aca="false">'Assumptions &amp; Data'!B511</f>
        <v>DS026</v>
      </c>
      <c r="C377" s="38" t="n">
        <f aca="false">'Assumptions &amp; Data'!C511</f>
        <v>46113</v>
      </c>
      <c r="D377" s="39" t="str">
        <f aca="false">INDEX('Assumptions &amp; Data'!$B$142:$B$201,MATCH(B377,'Assumptions &amp; Data'!$A$142:$A$201,0))</f>
        <v>Mumbai MMR</v>
      </c>
      <c r="E377" s="37" t="n">
        <f aca="false">'Assumptions &amp; Data'!D511</f>
        <v>22087</v>
      </c>
      <c r="F377" s="39" t="n">
        <f aca="false">E377*'Assumptions &amp; Data'!E511</f>
        <v>15513908.8</v>
      </c>
      <c r="G377" s="39" t="n">
        <f aca="false">F377*'Assumptions &amp; Data'!F511</f>
        <v>1101487.5248</v>
      </c>
      <c r="H377" s="39" t="n">
        <f aca="false">F377-G377</f>
        <v>14412421.2752</v>
      </c>
      <c r="I377" s="39" t="n">
        <f aca="false">H377*'Assumptions &amp; Data'!G511</f>
        <v>2489025.15422704</v>
      </c>
      <c r="J377" s="39" t="n">
        <f aca="false">E377*'Assumptions &amp; Data'!H511</f>
        <v>276750.11</v>
      </c>
      <c r="K377" s="39" t="n">
        <f aca="false">H377*'Assumptions &amp; Data'!I511</f>
        <v>364634.25826256</v>
      </c>
      <c r="L377" s="39" t="n">
        <f aca="false">H377*'Assumptions &amp; Data'!J511</f>
        <v>273836.0042288</v>
      </c>
      <c r="M377" s="39" t="n">
        <f aca="false">I377+J377+K377-L377</f>
        <v>2856573.5182608</v>
      </c>
      <c r="N377" s="39" t="n">
        <f aca="false">E377*'Assumptions &amp; Data'!N511</f>
        <v>1023290.71</v>
      </c>
      <c r="O377" s="39" t="n">
        <f aca="false">E377*'Assumptions &amp; Data'!O511</f>
        <v>242294.39</v>
      </c>
      <c r="P377" s="39" t="n">
        <f aca="false">H377*'Assumptions &amp; Data'!P511</f>
        <v>134035.51785936</v>
      </c>
      <c r="Q377" s="39" t="n">
        <f aca="false">M377-N377-O377-P377</f>
        <v>1456952.90040144</v>
      </c>
      <c r="R377" s="39" t="n">
        <f aca="false">'Assumptions &amp; Data'!L511*'Assumptions &amp; Data'!M511</f>
        <v>416250</v>
      </c>
      <c r="S377" s="37" t="n">
        <f aca="false">'Assumptions &amp; Data'!Q511</f>
        <v>1219500</v>
      </c>
      <c r="T377" s="37" t="n">
        <f aca="false">'Assumptions &amp; Data'!R511</f>
        <v>187074</v>
      </c>
      <c r="U377" s="37" t="n">
        <f aca="false">'Assumptions &amp; Data'!S511</f>
        <v>192597</v>
      </c>
      <c r="V377" s="39" t="n">
        <f aca="false">Q377-R377-S377-T377-U377</f>
        <v>-558468.099598561</v>
      </c>
      <c r="W377" s="39" t="n">
        <f aca="false">DAY(EOMONTH(C377,0))</f>
        <v>30</v>
      </c>
      <c r="X377" s="40" t="n">
        <f aca="false">E377/W377</f>
        <v>736.233333333333</v>
      </c>
      <c r="Y377" s="39" t="n">
        <f aca="false">R377+S377+T377+U377</f>
        <v>2015421</v>
      </c>
    </row>
    <row r="378" customFormat="false" ht="15" hidden="false" customHeight="false" outlineLevel="0" collapsed="false">
      <c r="A378" s="37" t="str">
        <f aca="false">'Assumptions &amp; Data'!A512</f>
        <v>SM0308</v>
      </c>
      <c r="B378" s="37" t="str">
        <f aca="false">'Assumptions &amp; Data'!B512</f>
        <v>DS026</v>
      </c>
      <c r="C378" s="38" t="n">
        <f aca="false">'Assumptions &amp; Data'!C512</f>
        <v>46143</v>
      </c>
      <c r="D378" s="39" t="str">
        <f aca="false">INDEX('Assumptions &amp; Data'!$B$142:$B$201,MATCH(B378,'Assumptions &amp; Data'!$A$142:$A$201,0))</f>
        <v>Mumbai MMR</v>
      </c>
      <c r="E378" s="37" t="n">
        <f aca="false">'Assumptions &amp; Data'!D512</f>
        <v>21004</v>
      </c>
      <c r="F378" s="39" t="n">
        <f aca="false">E378*'Assumptions &amp; Data'!E512</f>
        <v>14431848.4</v>
      </c>
      <c r="G378" s="39" t="n">
        <f aca="false">F378*'Assumptions &amp; Data'!F512</f>
        <v>1018888.49704</v>
      </c>
      <c r="H378" s="39" t="n">
        <f aca="false">F378-G378</f>
        <v>13412959.90296</v>
      </c>
      <c r="I378" s="39" t="n">
        <f aca="false">H378*'Assumptions &amp; Data'!G512</f>
        <v>2289592.25543527</v>
      </c>
      <c r="J378" s="39" t="n">
        <f aca="false">E378*'Assumptions &amp; Data'!H512</f>
        <v>266120.68</v>
      </c>
      <c r="K378" s="39" t="n">
        <f aca="false">H378*'Assumptions &amp; Data'!I512</f>
        <v>362149.91737992</v>
      </c>
      <c r="L378" s="39" t="n">
        <f aca="false">H378*'Assumptions &amp; Data'!J512</f>
        <v>266917.902068904</v>
      </c>
      <c r="M378" s="39" t="n">
        <f aca="false">I378+J378+K378-L378</f>
        <v>2650944.95074629</v>
      </c>
      <c r="N378" s="39" t="n">
        <f aca="false">E378*'Assumptions &amp; Data'!N512</f>
        <v>993279.16</v>
      </c>
      <c r="O378" s="39" t="n">
        <f aca="false">E378*'Assumptions &amp; Data'!O512</f>
        <v>233984.56</v>
      </c>
      <c r="P378" s="39" t="n">
        <f aca="false">H378*'Assumptions &amp; Data'!P512</f>
        <v>140836.07898108</v>
      </c>
      <c r="Q378" s="39" t="n">
        <f aca="false">M378-N378-O378-P378</f>
        <v>1282845.15176521</v>
      </c>
      <c r="R378" s="39" t="n">
        <f aca="false">'Assumptions &amp; Data'!L512*'Assumptions &amp; Data'!M512</f>
        <v>370336</v>
      </c>
      <c r="S378" s="37" t="n">
        <f aca="false">'Assumptions &amp; Data'!Q512</f>
        <v>1219500</v>
      </c>
      <c r="T378" s="37" t="n">
        <f aca="false">'Assumptions &amp; Data'!R512</f>
        <v>178916</v>
      </c>
      <c r="U378" s="37" t="n">
        <f aca="false">'Assumptions &amp; Data'!S512</f>
        <v>165463</v>
      </c>
      <c r="V378" s="39" t="n">
        <f aca="false">Q378-R378-S378-T378-U378</f>
        <v>-651369.848234792</v>
      </c>
      <c r="W378" s="39" t="n">
        <f aca="false">DAY(EOMONTH(C378,0))</f>
        <v>31</v>
      </c>
      <c r="X378" s="40" t="n">
        <f aca="false">E378/W378</f>
        <v>677.548387096774</v>
      </c>
      <c r="Y378" s="39" t="n">
        <f aca="false">R378+S378+T378+U378</f>
        <v>1934215</v>
      </c>
    </row>
    <row r="379" customFormat="false" ht="15" hidden="false" customHeight="false" outlineLevel="0" collapsed="false">
      <c r="A379" s="37" t="str">
        <f aca="false">'Assumptions &amp; Data'!A513</f>
        <v>SM0309</v>
      </c>
      <c r="B379" s="37" t="str">
        <f aca="false">'Assumptions &amp; Data'!B513</f>
        <v>DS026</v>
      </c>
      <c r="C379" s="38" t="n">
        <f aca="false">'Assumptions &amp; Data'!C513</f>
        <v>46174</v>
      </c>
      <c r="D379" s="39" t="str">
        <f aca="false">INDEX('Assumptions &amp; Data'!$B$142:$B$201,MATCH(B379,'Assumptions &amp; Data'!$A$142:$A$201,0))</f>
        <v>Mumbai MMR</v>
      </c>
      <c r="E379" s="37" t="n">
        <f aca="false">'Assumptions &amp; Data'!D513</f>
        <v>22232</v>
      </c>
      <c r="F379" s="39" t="n">
        <f aca="false">E379*'Assumptions &amp; Data'!E513</f>
        <v>15655774.4</v>
      </c>
      <c r="G379" s="39" t="n">
        <f aca="false">F379*'Assumptions &amp; Data'!F513</f>
        <v>1080248.4336</v>
      </c>
      <c r="H379" s="39" t="n">
        <f aca="false">F379-G379</f>
        <v>14575525.9664</v>
      </c>
      <c r="I379" s="39" t="n">
        <f aca="false">H379*'Assumptions &amp; Data'!G513</f>
        <v>2521565.9921872</v>
      </c>
      <c r="J379" s="39" t="n">
        <f aca="false">E379*'Assumptions &amp; Data'!H513</f>
        <v>267228.64</v>
      </c>
      <c r="K379" s="39" t="n">
        <f aca="false">H379*'Assumptions &amp; Data'!I513</f>
        <v>383336.33291632</v>
      </c>
      <c r="L379" s="39" t="n">
        <f aca="false">H379*'Assumptions &amp; Data'!J513</f>
        <v>282765.20374816</v>
      </c>
      <c r="M379" s="39" t="n">
        <f aca="false">I379+J379+K379-L379</f>
        <v>2889365.76135536</v>
      </c>
      <c r="N379" s="39" t="n">
        <f aca="false">E379*'Assumptions &amp; Data'!N513</f>
        <v>1038234.4</v>
      </c>
      <c r="O379" s="39" t="n">
        <f aca="false">E379*'Assumptions &amp; Data'!O513</f>
        <v>242773.44</v>
      </c>
      <c r="P379" s="39" t="n">
        <f aca="false">H379*'Assumptions &amp; Data'!P513</f>
        <v>144297.70706736</v>
      </c>
      <c r="Q379" s="39" t="n">
        <f aca="false">M379-N379-O379-P379</f>
        <v>1464060.214288</v>
      </c>
      <c r="R379" s="39" t="n">
        <f aca="false">'Assumptions &amp; Data'!L513*'Assumptions &amp; Data'!M513</f>
        <v>393839</v>
      </c>
      <c r="S379" s="37" t="n">
        <f aca="false">'Assumptions &amp; Data'!Q513</f>
        <v>1219500</v>
      </c>
      <c r="T379" s="37" t="n">
        <f aca="false">'Assumptions &amp; Data'!R513</f>
        <v>181051</v>
      </c>
      <c r="U379" s="37" t="n">
        <f aca="false">'Assumptions &amp; Data'!S513</f>
        <v>180594</v>
      </c>
      <c r="V379" s="39" t="n">
        <f aca="false">Q379-R379-S379-T379-U379</f>
        <v>-510923.785712</v>
      </c>
      <c r="W379" s="39" t="n">
        <f aca="false">DAY(EOMONTH(C379,0))</f>
        <v>30</v>
      </c>
      <c r="X379" s="40" t="n">
        <f aca="false">E379/W379</f>
        <v>741.066666666667</v>
      </c>
      <c r="Y379" s="39" t="n">
        <f aca="false">R379+S379+T379+U379</f>
        <v>1974984</v>
      </c>
    </row>
    <row r="380" customFormat="false" ht="15" hidden="false" customHeight="false" outlineLevel="0" collapsed="false">
      <c r="A380" s="37" t="str">
        <f aca="false">'Assumptions &amp; Data'!A514</f>
        <v>SM0310</v>
      </c>
      <c r="B380" s="37" t="str">
        <f aca="false">'Assumptions &amp; Data'!B514</f>
        <v>DS026</v>
      </c>
      <c r="C380" s="38" t="n">
        <f aca="false">'Assumptions &amp; Data'!C514</f>
        <v>46204</v>
      </c>
      <c r="D380" s="39" t="str">
        <f aca="false">INDEX('Assumptions &amp; Data'!$B$142:$B$201,MATCH(B380,'Assumptions &amp; Data'!$A$142:$A$201,0))</f>
        <v>Mumbai MMR</v>
      </c>
      <c r="E380" s="37" t="n">
        <f aca="false">'Assumptions &amp; Data'!D514</f>
        <v>21120</v>
      </c>
      <c r="F380" s="39" t="n">
        <f aca="false">E380*'Assumptions &amp; Data'!E514</f>
        <v>14570688</v>
      </c>
      <c r="G380" s="39" t="n">
        <f aca="false">F380*'Assumptions &amp; Data'!F514</f>
        <v>999549.1968</v>
      </c>
      <c r="H380" s="39" t="n">
        <f aca="false">F380-G380</f>
        <v>13571138.8032</v>
      </c>
      <c r="I380" s="39" t="n">
        <f aca="false">H380*'Assumptions &amp; Data'!G514</f>
        <v>2279951.3189376</v>
      </c>
      <c r="J380" s="39" t="n">
        <f aca="false">E380*'Assumptions &amp; Data'!H514</f>
        <v>274560</v>
      </c>
      <c r="K380" s="39" t="n">
        <f aca="false">H380*'Assumptions &amp; Data'!I514</f>
        <v>306707.73695232</v>
      </c>
      <c r="L380" s="39" t="n">
        <f aca="false">H380*'Assumptions &amp; Data'!J514</f>
        <v>276851.23158528</v>
      </c>
      <c r="M380" s="39" t="n">
        <f aca="false">I380+J380+K380-L380</f>
        <v>2584367.82430464</v>
      </c>
      <c r="N380" s="39" t="n">
        <f aca="false">E380*'Assumptions &amp; Data'!N514</f>
        <v>1011859.2</v>
      </c>
      <c r="O380" s="39" t="n">
        <f aca="false">E380*'Assumptions &amp; Data'!O514</f>
        <v>231052.8</v>
      </c>
      <c r="P380" s="39" t="n">
        <f aca="false">H380*'Assumptions &amp; Data'!P514</f>
        <v>137068.50191232</v>
      </c>
      <c r="Q380" s="39" t="n">
        <f aca="false">M380-N380-O380-P380</f>
        <v>1204387.32239232</v>
      </c>
      <c r="R380" s="39" t="n">
        <f aca="false">'Assumptions &amp; Data'!L514*'Assumptions &amp; Data'!M514</f>
        <v>417384</v>
      </c>
      <c r="S380" s="37" t="n">
        <f aca="false">'Assumptions &amp; Data'!Q514</f>
        <v>1219500</v>
      </c>
      <c r="T380" s="37" t="n">
        <f aca="false">'Assumptions &amp; Data'!R514</f>
        <v>176534</v>
      </c>
      <c r="U380" s="37" t="n">
        <f aca="false">'Assumptions &amp; Data'!S514</f>
        <v>151810</v>
      </c>
      <c r="V380" s="39" t="n">
        <f aca="false">Q380-R380-S380-T380-U380</f>
        <v>-760840.67760768</v>
      </c>
      <c r="W380" s="39" t="n">
        <f aca="false">DAY(EOMONTH(C380,0))</f>
        <v>31</v>
      </c>
      <c r="X380" s="40" t="n">
        <f aca="false">E380/W380</f>
        <v>681.290322580645</v>
      </c>
      <c r="Y380" s="39" t="n">
        <f aca="false">R380+S380+T380+U380</f>
        <v>1965228</v>
      </c>
    </row>
    <row r="381" customFormat="false" ht="15" hidden="false" customHeight="false" outlineLevel="0" collapsed="false">
      <c r="A381" s="37" t="str">
        <f aca="false">'Assumptions &amp; Data'!A515</f>
        <v>SM0311</v>
      </c>
      <c r="B381" s="37" t="str">
        <f aca="false">'Assumptions &amp; Data'!B515</f>
        <v>DS026</v>
      </c>
      <c r="C381" s="38" t="n">
        <f aca="false">'Assumptions &amp; Data'!C515</f>
        <v>46235</v>
      </c>
      <c r="D381" s="39" t="str">
        <f aca="false">INDEX('Assumptions &amp; Data'!$B$142:$B$201,MATCH(B381,'Assumptions &amp; Data'!$A$142:$A$201,0))</f>
        <v>Mumbai MMR</v>
      </c>
      <c r="E381" s="37" t="n">
        <f aca="false">'Assumptions &amp; Data'!D515</f>
        <v>21792</v>
      </c>
      <c r="F381" s="39" t="n">
        <f aca="false">E381*'Assumptions &amp; Data'!E515</f>
        <v>14805484.8</v>
      </c>
      <c r="G381" s="39" t="n">
        <f aca="false">F381*'Assumptions &amp; Data'!F515</f>
        <v>1026020.09664</v>
      </c>
      <c r="H381" s="39" t="n">
        <f aca="false">F381-G381</f>
        <v>13779464.70336</v>
      </c>
      <c r="I381" s="39" t="n">
        <f aca="false">H381*'Assumptions &amp; Data'!G515</f>
        <v>2421051.94838035</v>
      </c>
      <c r="J381" s="39" t="n">
        <f aca="false">E381*'Assumptions &amp; Data'!H515</f>
        <v>275450.88</v>
      </c>
      <c r="K381" s="39" t="n">
        <f aca="false">H381*'Assumptions &amp; Data'!I515</f>
        <v>323817.42052896</v>
      </c>
      <c r="L381" s="39" t="n">
        <f aca="false">H381*'Assumptions &amp; Data'!J515</f>
        <v>276967.240537536</v>
      </c>
      <c r="M381" s="39" t="n">
        <f aca="false">I381+J381+K381-L381</f>
        <v>2743353.00837178</v>
      </c>
      <c r="N381" s="39" t="n">
        <f aca="false">E381*'Assumptions &amp; Data'!N515</f>
        <v>1005918.72</v>
      </c>
      <c r="O381" s="39" t="n">
        <f aca="false">E381*'Assumptions &amp; Data'!O515</f>
        <v>229905.6</v>
      </c>
      <c r="P381" s="39" t="n">
        <f aca="false">H381*'Assumptions &amp; Data'!P515</f>
        <v>136416.700563264</v>
      </c>
      <c r="Q381" s="39" t="n">
        <f aca="false">M381-N381-O381-P381</f>
        <v>1371111.98780851</v>
      </c>
      <c r="R381" s="39" t="n">
        <f aca="false">'Assumptions &amp; Data'!L515*'Assumptions &amp; Data'!M515</f>
        <v>394553</v>
      </c>
      <c r="S381" s="37" t="n">
        <f aca="false">'Assumptions &amp; Data'!Q515</f>
        <v>1219500</v>
      </c>
      <c r="T381" s="37" t="n">
        <f aca="false">'Assumptions &amp; Data'!R515</f>
        <v>184591</v>
      </c>
      <c r="U381" s="37" t="n">
        <f aca="false">'Assumptions &amp; Data'!S515</f>
        <v>148656</v>
      </c>
      <c r="V381" s="39" t="n">
        <f aca="false">Q381-R381-S381-T381-U381</f>
        <v>-576188.012191489</v>
      </c>
      <c r="W381" s="39" t="n">
        <f aca="false">DAY(EOMONTH(C381,0))</f>
        <v>31</v>
      </c>
      <c r="X381" s="40" t="n">
        <f aca="false">E381/W381</f>
        <v>702.967741935484</v>
      </c>
      <c r="Y381" s="39" t="n">
        <f aca="false">R381+S381+T381+U381</f>
        <v>1947300</v>
      </c>
    </row>
    <row r="382" customFormat="false" ht="15" hidden="false" customHeight="false" outlineLevel="0" collapsed="false">
      <c r="A382" s="37" t="str">
        <f aca="false">'Assumptions &amp; Data'!A516</f>
        <v>SM0312</v>
      </c>
      <c r="B382" s="37" t="str">
        <f aca="false">'Assumptions &amp; Data'!B516</f>
        <v>DS026</v>
      </c>
      <c r="C382" s="38" t="n">
        <f aca="false">'Assumptions &amp; Data'!C516</f>
        <v>46266</v>
      </c>
      <c r="D382" s="39" t="str">
        <f aca="false">INDEX('Assumptions &amp; Data'!$B$142:$B$201,MATCH(B382,'Assumptions &amp; Data'!$A$142:$A$201,0))</f>
        <v>Mumbai MMR</v>
      </c>
      <c r="E382" s="37" t="n">
        <f aca="false">'Assumptions &amp; Data'!D516</f>
        <v>24167</v>
      </c>
      <c r="F382" s="39" t="n">
        <f aca="false">E382*'Assumptions &amp; Data'!E516</f>
        <v>16411809.7</v>
      </c>
      <c r="G382" s="39" t="n">
        <f aca="false">F382*'Assumptions &amp; Data'!F516</f>
        <v>1135697.23124</v>
      </c>
      <c r="H382" s="39" t="n">
        <f aca="false">F382-G382</f>
        <v>15276112.46876</v>
      </c>
      <c r="I382" s="39" t="n">
        <f aca="false">H382*'Assumptions &amp; Data'!G516</f>
        <v>2654988.34707049</v>
      </c>
      <c r="J382" s="39" t="n">
        <f aca="false">E382*'Assumptions &amp; Data'!H516</f>
        <v>302570.84</v>
      </c>
      <c r="K382" s="39" t="n">
        <f aca="false">H382*'Assumptions &amp; Data'!I516</f>
        <v>403289.369175264</v>
      </c>
      <c r="L382" s="39" t="n">
        <f aca="false">H382*'Assumptions &amp; Data'!J516</f>
        <v>262749.134462672</v>
      </c>
      <c r="M382" s="39" t="n">
        <f aca="false">I382+J382+K382-L382</f>
        <v>3098099.42178308</v>
      </c>
      <c r="N382" s="39" t="n">
        <f aca="false">E382*'Assumptions &amp; Data'!N516</f>
        <v>1100081.84</v>
      </c>
      <c r="O382" s="39" t="n">
        <f aca="false">E382*'Assumptions &amp; Data'!O516</f>
        <v>262211.95</v>
      </c>
      <c r="P382" s="39" t="n">
        <f aca="false">H382*'Assumptions &amp; Data'!P516</f>
        <v>155816.347181352</v>
      </c>
      <c r="Q382" s="39" t="n">
        <f aca="false">M382-N382-O382-P382</f>
        <v>1579989.28460173</v>
      </c>
      <c r="R382" s="39" t="n">
        <f aca="false">'Assumptions &amp; Data'!L516*'Assumptions &amp; Data'!M516</f>
        <v>487830</v>
      </c>
      <c r="S382" s="37" t="n">
        <f aca="false">'Assumptions &amp; Data'!Q516</f>
        <v>1219500</v>
      </c>
      <c r="T382" s="37" t="n">
        <f aca="false">'Assumptions &amp; Data'!R516</f>
        <v>168508</v>
      </c>
      <c r="U382" s="37" t="n">
        <f aca="false">'Assumptions &amp; Data'!S516</f>
        <v>149054</v>
      </c>
      <c r="V382" s="39" t="n">
        <f aca="false">Q382-R382-S382-T382-U382</f>
        <v>-444902.715398272</v>
      </c>
      <c r="W382" s="39" t="n">
        <f aca="false">DAY(EOMONTH(C382,0))</f>
        <v>30</v>
      </c>
      <c r="X382" s="40" t="n">
        <f aca="false">E382/W382</f>
        <v>805.566666666667</v>
      </c>
      <c r="Y382" s="39" t="n">
        <f aca="false">R382+S382+T382+U382</f>
        <v>2024892</v>
      </c>
    </row>
    <row r="383" customFormat="false" ht="15" hidden="false" customHeight="false" outlineLevel="0" collapsed="false">
      <c r="A383" s="37" t="str">
        <f aca="false">'Assumptions &amp; Data'!A517</f>
        <v>SM0313</v>
      </c>
      <c r="B383" s="37" t="str">
        <f aca="false">'Assumptions &amp; Data'!B517</f>
        <v>DS027</v>
      </c>
      <c r="C383" s="38" t="n">
        <f aca="false">'Assumptions &amp; Data'!C517</f>
        <v>45931</v>
      </c>
      <c r="D383" s="39" t="str">
        <f aca="false">INDEX('Assumptions &amp; Data'!$B$142:$B$201,MATCH(B383,'Assumptions &amp; Data'!$A$142:$A$201,0))</f>
        <v>Bengaluru</v>
      </c>
      <c r="E383" s="37" t="n">
        <f aca="false">'Assumptions &amp; Data'!D517</f>
        <v>2069</v>
      </c>
      <c r="F383" s="39" t="n">
        <f aca="false">E383*'Assumptions &amp; Data'!E517</f>
        <v>1308642.5</v>
      </c>
      <c r="G383" s="39" t="n">
        <f aca="false">F383*'Assumptions &amp; Data'!F517</f>
        <v>121442.024</v>
      </c>
      <c r="H383" s="39" t="n">
        <f aca="false">F383-G383</f>
        <v>1187200.476</v>
      </c>
      <c r="I383" s="39" t="n">
        <f aca="false">H383*'Assumptions &amp; Data'!G517</f>
        <v>198499.9195872</v>
      </c>
      <c r="J383" s="39" t="n">
        <f aca="false">E383*'Assumptions &amp; Data'!H517</f>
        <v>24972.83</v>
      </c>
      <c r="K383" s="39" t="n">
        <f aca="false">H383*'Assumptions &amp; Data'!I517</f>
        <v>20776.00833</v>
      </c>
      <c r="L383" s="39" t="n">
        <f aca="false">H383*'Assumptions &amp; Data'!J517</f>
        <v>45707.218326</v>
      </c>
      <c r="M383" s="39" t="n">
        <f aca="false">I383+J383+K383-L383</f>
        <v>198541.5395912</v>
      </c>
      <c r="N383" s="39" t="n">
        <f aca="false">E383*'Assumptions &amp; Data'!N517</f>
        <v>107298.34</v>
      </c>
      <c r="O383" s="39" t="n">
        <f aca="false">E383*'Assumptions &amp; Data'!O517</f>
        <v>21745.19</v>
      </c>
      <c r="P383" s="39" t="n">
        <f aca="false">H383*'Assumptions &amp; Data'!P517</f>
        <v>11872.00476</v>
      </c>
      <c r="Q383" s="39" t="n">
        <f aca="false">M383-N383-O383-P383</f>
        <v>57626.0048312</v>
      </c>
      <c r="R383" s="39" t="n">
        <f aca="false">'Assumptions &amp; Data'!L517*'Assumptions &amp; Data'!M517</f>
        <v>352000</v>
      </c>
      <c r="S383" s="37" t="n">
        <f aca="false">'Assumptions &amp; Data'!Q517</f>
        <v>796000</v>
      </c>
      <c r="T383" s="37" t="n">
        <f aca="false">'Assumptions &amp; Data'!R517</f>
        <v>161737</v>
      </c>
      <c r="U383" s="37" t="n">
        <f aca="false">'Assumptions &amp; Data'!S517</f>
        <v>40266</v>
      </c>
      <c r="V383" s="39" t="n">
        <f aca="false">Q383-R383-S383-T383-U383</f>
        <v>-1292376.9951688</v>
      </c>
      <c r="W383" s="39" t="n">
        <f aca="false">DAY(EOMONTH(C383,0))</f>
        <v>31</v>
      </c>
      <c r="X383" s="40" t="n">
        <f aca="false">E383/W383</f>
        <v>66.741935483871</v>
      </c>
      <c r="Y383" s="39" t="n">
        <f aca="false">R383+S383+T383+U383</f>
        <v>1350003</v>
      </c>
    </row>
    <row r="384" customFormat="false" ht="15" hidden="false" customHeight="false" outlineLevel="0" collapsed="false">
      <c r="A384" s="37" t="str">
        <f aca="false">'Assumptions &amp; Data'!A518</f>
        <v>SM0314</v>
      </c>
      <c r="B384" s="37" t="str">
        <f aca="false">'Assumptions &amp; Data'!B518</f>
        <v>DS027</v>
      </c>
      <c r="C384" s="38" t="n">
        <f aca="false">'Assumptions &amp; Data'!C518</f>
        <v>45962</v>
      </c>
      <c r="D384" s="39" t="str">
        <f aca="false">INDEX('Assumptions &amp; Data'!$B$142:$B$201,MATCH(B384,'Assumptions &amp; Data'!$A$142:$A$201,0))</f>
        <v>Bengaluru</v>
      </c>
      <c r="E384" s="37" t="n">
        <f aca="false">'Assumptions &amp; Data'!D518</f>
        <v>2103</v>
      </c>
      <c r="F384" s="39" t="n">
        <f aca="false">E384*'Assumptions &amp; Data'!E518</f>
        <v>1304490.9</v>
      </c>
      <c r="G384" s="39" t="n">
        <f aca="false">F384*'Assumptions &amp; Data'!F518</f>
        <v>121448.10279</v>
      </c>
      <c r="H384" s="39" t="n">
        <f aca="false">F384-G384</f>
        <v>1183042.79721</v>
      </c>
      <c r="I384" s="39" t="n">
        <f aca="false">H384*'Assumptions &amp; Data'!G518</f>
        <v>192835.97594523</v>
      </c>
      <c r="J384" s="39" t="n">
        <f aca="false">E384*'Assumptions &amp; Data'!H518</f>
        <v>22985.79</v>
      </c>
      <c r="K384" s="39" t="n">
        <f aca="false">H384*'Assumptions &amp; Data'!I518</f>
        <v>20230.031832291</v>
      </c>
      <c r="L384" s="39" t="n">
        <f aca="false">H384*'Assumptions &amp; Data'!J518</f>
        <v>43299.366377886</v>
      </c>
      <c r="M384" s="39" t="n">
        <f aca="false">I384+J384+K384-L384</f>
        <v>192752.431399635</v>
      </c>
      <c r="N384" s="39" t="n">
        <f aca="false">E384*'Assumptions &amp; Data'!N518</f>
        <v>104645.28</v>
      </c>
      <c r="O384" s="39" t="n">
        <f aca="false">E384*'Assumptions &amp; Data'!O518</f>
        <v>22544.16</v>
      </c>
      <c r="P384" s="39" t="n">
        <f aca="false">H384*'Assumptions &amp; Data'!P518</f>
        <v>11712.123692379</v>
      </c>
      <c r="Q384" s="39" t="n">
        <f aca="false">M384-N384-O384-P384</f>
        <v>53850.867707256</v>
      </c>
      <c r="R384" s="39" t="n">
        <f aca="false">'Assumptions &amp; Data'!L518*'Assumptions &amp; Data'!M518</f>
        <v>352320</v>
      </c>
      <c r="S384" s="37" t="n">
        <f aca="false">'Assumptions &amp; Data'!Q518</f>
        <v>796000</v>
      </c>
      <c r="T384" s="37" t="n">
        <f aca="false">'Assumptions &amp; Data'!R518</f>
        <v>169033</v>
      </c>
      <c r="U384" s="37" t="n">
        <f aca="false">'Assumptions &amp; Data'!S518</f>
        <v>39743</v>
      </c>
      <c r="V384" s="39" t="n">
        <f aca="false">Q384-R384-S384-T384-U384</f>
        <v>-1303245.13229274</v>
      </c>
      <c r="W384" s="39" t="n">
        <f aca="false">DAY(EOMONTH(C384,0))</f>
        <v>30</v>
      </c>
      <c r="X384" s="40" t="n">
        <f aca="false">E384/W384</f>
        <v>70.1</v>
      </c>
      <c r="Y384" s="39" t="n">
        <f aca="false">R384+S384+T384+U384</f>
        <v>1357096</v>
      </c>
    </row>
    <row r="385" customFormat="false" ht="15" hidden="false" customHeight="false" outlineLevel="0" collapsed="false">
      <c r="A385" s="37" t="str">
        <f aca="false">'Assumptions &amp; Data'!A519</f>
        <v>SM0315</v>
      </c>
      <c r="B385" s="37" t="str">
        <f aca="false">'Assumptions &amp; Data'!B519</f>
        <v>DS027</v>
      </c>
      <c r="C385" s="38" t="n">
        <f aca="false">'Assumptions &amp; Data'!C519</f>
        <v>45992</v>
      </c>
      <c r="D385" s="39" t="str">
        <f aca="false">INDEX('Assumptions &amp; Data'!$B$142:$B$201,MATCH(B385,'Assumptions &amp; Data'!$A$142:$A$201,0))</f>
        <v>Bengaluru</v>
      </c>
      <c r="E385" s="37" t="n">
        <f aca="false">'Assumptions &amp; Data'!D519</f>
        <v>2192</v>
      </c>
      <c r="F385" s="39" t="n">
        <f aca="false">E385*'Assumptions &amp; Data'!E519</f>
        <v>1357286.4</v>
      </c>
      <c r="G385" s="39" t="n">
        <f aca="false">F385*'Assumptions &amp; Data'!F519</f>
        <v>127856.37888</v>
      </c>
      <c r="H385" s="39" t="n">
        <f aca="false">F385-G385</f>
        <v>1229430.02112</v>
      </c>
      <c r="I385" s="39" t="n">
        <f aca="false">H385*'Assumptions &amp; Data'!G519</f>
        <v>205806.585535488</v>
      </c>
      <c r="J385" s="39" t="n">
        <f aca="false">E385*'Assumptions &amp; Data'!H519</f>
        <v>26128.64</v>
      </c>
      <c r="K385" s="39" t="n">
        <f aca="false">H385*'Assumptions &amp; Data'!I519</f>
        <v>21515.0253696</v>
      </c>
      <c r="L385" s="39" t="n">
        <f aca="false">H385*'Assumptions &amp; Data'!J519</f>
        <v>45980.682789888</v>
      </c>
      <c r="M385" s="39" t="n">
        <f aca="false">I385+J385+K385-L385</f>
        <v>207469.5681152</v>
      </c>
      <c r="N385" s="39" t="n">
        <f aca="false">E385*'Assumptions &amp; Data'!N519</f>
        <v>112098.88</v>
      </c>
      <c r="O385" s="39" t="n">
        <f aca="false">E385*'Assumptions &amp; Data'!O519</f>
        <v>22818.72</v>
      </c>
      <c r="P385" s="39" t="n">
        <f aca="false">H385*'Assumptions &amp; Data'!P519</f>
        <v>12417.243213312</v>
      </c>
      <c r="Q385" s="39" t="n">
        <f aca="false">M385-N385-O385-P385</f>
        <v>60134.7249018881</v>
      </c>
      <c r="R385" s="39" t="n">
        <f aca="false">'Assumptions &amp; Data'!L519*'Assumptions &amp; Data'!M519</f>
        <v>352640</v>
      </c>
      <c r="S385" s="37" t="n">
        <f aca="false">'Assumptions &amp; Data'!Q519</f>
        <v>796000</v>
      </c>
      <c r="T385" s="37" t="n">
        <f aca="false">'Assumptions &amp; Data'!R519</f>
        <v>166528</v>
      </c>
      <c r="U385" s="37" t="n">
        <f aca="false">'Assumptions &amp; Data'!S519</f>
        <v>41047</v>
      </c>
      <c r="V385" s="39" t="n">
        <f aca="false">Q385-R385-S385-T385-U385</f>
        <v>-1296080.27509811</v>
      </c>
      <c r="W385" s="39" t="n">
        <f aca="false">DAY(EOMONTH(C385,0))</f>
        <v>31</v>
      </c>
      <c r="X385" s="40" t="n">
        <f aca="false">E385/W385</f>
        <v>70.7096774193548</v>
      </c>
      <c r="Y385" s="39" t="n">
        <f aca="false">R385+S385+T385+U385</f>
        <v>1356215</v>
      </c>
    </row>
    <row r="386" customFormat="false" ht="15" hidden="false" customHeight="false" outlineLevel="0" collapsed="false">
      <c r="A386" s="37" t="str">
        <f aca="false">'Assumptions &amp; Data'!A520</f>
        <v>SM0316</v>
      </c>
      <c r="B386" s="37" t="str">
        <f aca="false">'Assumptions &amp; Data'!B520</f>
        <v>DS027</v>
      </c>
      <c r="C386" s="38" t="n">
        <f aca="false">'Assumptions &amp; Data'!C520</f>
        <v>46023</v>
      </c>
      <c r="D386" s="39" t="str">
        <f aca="false">INDEX('Assumptions &amp; Data'!$B$142:$B$201,MATCH(B386,'Assumptions &amp; Data'!$A$142:$A$201,0))</f>
        <v>Bengaluru</v>
      </c>
      <c r="E386" s="37" t="n">
        <f aca="false">'Assumptions &amp; Data'!D520</f>
        <v>2253</v>
      </c>
      <c r="F386" s="39" t="n">
        <f aca="false">E386*'Assumptions &amp; Data'!E520</f>
        <v>1402943.1</v>
      </c>
      <c r="G386" s="39" t="n">
        <f aca="false">F386*'Assumptions &amp; Data'!F520</f>
        <v>134682.5376</v>
      </c>
      <c r="H386" s="39" t="n">
        <f aca="false">F386-G386</f>
        <v>1268260.5624</v>
      </c>
      <c r="I386" s="39" t="n">
        <f aca="false">H386*'Assumptions &amp; Data'!G520</f>
        <v>210784.90547088</v>
      </c>
      <c r="J386" s="39" t="n">
        <f aca="false">E386*'Assumptions &amp; Data'!H520</f>
        <v>27193.71</v>
      </c>
      <c r="K386" s="39" t="n">
        <f aca="false">H386*'Assumptions &amp; Data'!I520</f>
        <v>22067.73378576</v>
      </c>
      <c r="L386" s="39" t="n">
        <f aca="false">H386*'Assumptions &amp; Data'!J520</f>
        <v>46291.5105276</v>
      </c>
      <c r="M386" s="39" t="n">
        <f aca="false">I386+J386+K386-L386</f>
        <v>213754.83872904</v>
      </c>
      <c r="N386" s="39" t="n">
        <f aca="false">E386*'Assumptions &amp; Data'!N520</f>
        <v>115916.85</v>
      </c>
      <c r="O386" s="39" t="n">
        <f aca="false">E386*'Assumptions &amp; Data'!O520</f>
        <v>24670.35</v>
      </c>
      <c r="P386" s="39" t="n">
        <f aca="false">H386*'Assumptions &amp; Data'!P520</f>
        <v>12682.605624</v>
      </c>
      <c r="Q386" s="39" t="n">
        <f aca="false">M386-N386-O386-P386</f>
        <v>60485.03310504</v>
      </c>
      <c r="R386" s="39" t="n">
        <f aca="false">'Assumptions &amp; Data'!L520*'Assumptions &amp; Data'!M520</f>
        <v>352960</v>
      </c>
      <c r="S386" s="37" t="n">
        <f aca="false">'Assumptions &amp; Data'!Q520</f>
        <v>796000</v>
      </c>
      <c r="T386" s="37" t="n">
        <f aca="false">'Assumptions &amp; Data'!R520</f>
        <v>170166</v>
      </c>
      <c r="U386" s="37" t="n">
        <f aca="false">'Assumptions &amp; Data'!S520</f>
        <v>42492</v>
      </c>
      <c r="V386" s="39" t="n">
        <f aca="false">Q386-R386-S386-T386-U386</f>
        <v>-1301132.96689496</v>
      </c>
      <c r="W386" s="39" t="n">
        <f aca="false">DAY(EOMONTH(C386,0))</f>
        <v>31</v>
      </c>
      <c r="X386" s="40" t="n">
        <f aca="false">E386/W386</f>
        <v>72.6774193548387</v>
      </c>
      <c r="Y386" s="39" t="n">
        <f aca="false">R386+S386+T386+U386</f>
        <v>1361618</v>
      </c>
    </row>
    <row r="387" customFormat="false" ht="15" hidden="false" customHeight="false" outlineLevel="0" collapsed="false">
      <c r="A387" s="37" t="str">
        <f aca="false">'Assumptions &amp; Data'!A521</f>
        <v>SM0317</v>
      </c>
      <c r="B387" s="37" t="str">
        <f aca="false">'Assumptions &amp; Data'!B521</f>
        <v>DS027</v>
      </c>
      <c r="C387" s="38" t="n">
        <f aca="false">'Assumptions &amp; Data'!C521</f>
        <v>46054</v>
      </c>
      <c r="D387" s="39" t="str">
        <f aca="false">INDEX('Assumptions &amp; Data'!$B$142:$B$201,MATCH(B387,'Assumptions &amp; Data'!$A$142:$A$201,0))</f>
        <v>Bengaluru</v>
      </c>
      <c r="E387" s="37" t="n">
        <f aca="false">'Assumptions &amp; Data'!D521</f>
        <v>1997</v>
      </c>
      <c r="F387" s="39" t="n">
        <f aca="false">E387*'Assumptions &amp; Data'!E521</f>
        <v>1245528.9</v>
      </c>
      <c r="G387" s="39" t="n">
        <f aca="false">F387*'Assumptions &amp; Data'!F521</f>
        <v>116207.84637</v>
      </c>
      <c r="H387" s="39" t="n">
        <f aca="false">F387-G387</f>
        <v>1129321.05363</v>
      </c>
      <c r="I387" s="39" t="n">
        <f aca="false">H387*'Assumptions &amp; Data'!G521</f>
        <v>187241.430691854</v>
      </c>
      <c r="J387" s="39" t="n">
        <f aca="false">E387*'Assumptions &amp; Data'!H521</f>
        <v>24463.25</v>
      </c>
      <c r="K387" s="39" t="n">
        <f aca="false">H387*'Assumptions &amp; Data'!I521</f>
        <v>19537.254227799</v>
      </c>
      <c r="L387" s="39" t="n">
        <f aca="false">H387*'Assumptions &amp; Data'!J521</f>
        <v>42462.471616488</v>
      </c>
      <c r="M387" s="39" t="n">
        <f aca="false">I387+J387+K387-L387</f>
        <v>188779.463303165</v>
      </c>
      <c r="N387" s="39" t="n">
        <f aca="false">E387*'Assumptions &amp; Data'!N521</f>
        <v>102286.34</v>
      </c>
      <c r="O387" s="39" t="n">
        <f aca="false">E387*'Assumptions &amp; Data'!O521</f>
        <v>21288.02</v>
      </c>
      <c r="P387" s="39" t="n">
        <f aca="false">H387*'Assumptions &amp; Data'!P521</f>
        <v>11293.2105363</v>
      </c>
      <c r="Q387" s="39" t="n">
        <f aca="false">M387-N387-O387-P387</f>
        <v>53911.892766865</v>
      </c>
      <c r="R387" s="39" t="n">
        <f aca="false">'Assumptions &amp; Data'!L521*'Assumptions &amp; Data'!M521</f>
        <v>353280</v>
      </c>
      <c r="S387" s="37" t="n">
        <f aca="false">'Assumptions &amp; Data'!Q521</f>
        <v>796000</v>
      </c>
      <c r="T387" s="37" t="n">
        <f aca="false">'Assumptions &amp; Data'!R521</f>
        <v>161321</v>
      </c>
      <c r="U387" s="37" t="n">
        <f aca="false">'Assumptions &amp; Data'!S521</f>
        <v>37489</v>
      </c>
      <c r="V387" s="39" t="n">
        <f aca="false">Q387-R387-S387-T387-U387</f>
        <v>-1294178.10723314</v>
      </c>
      <c r="W387" s="39" t="n">
        <f aca="false">DAY(EOMONTH(C387,0))</f>
        <v>28</v>
      </c>
      <c r="X387" s="40" t="n">
        <f aca="false">E387/W387</f>
        <v>71.3214285714286</v>
      </c>
      <c r="Y387" s="39" t="n">
        <f aca="false">R387+S387+T387+U387</f>
        <v>1348090</v>
      </c>
    </row>
    <row r="388" customFormat="false" ht="15" hidden="false" customHeight="false" outlineLevel="0" collapsed="false">
      <c r="A388" s="37" t="str">
        <f aca="false">'Assumptions &amp; Data'!A522</f>
        <v>SM0318</v>
      </c>
      <c r="B388" s="37" t="str">
        <f aca="false">'Assumptions &amp; Data'!B522</f>
        <v>DS027</v>
      </c>
      <c r="C388" s="38" t="n">
        <f aca="false">'Assumptions &amp; Data'!C522</f>
        <v>46082</v>
      </c>
      <c r="D388" s="39" t="str">
        <f aca="false">INDEX('Assumptions &amp; Data'!$B$142:$B$201,MATCH(B388,'Assumptions &amp; Data'!$A$142:$A$201,0))</f>
        <v>Bengaluru</v>
      </c>
      <c r="E388" s="37" t="n">
        <f aca="false">'Assumptions &amp; Data'!D522</f>
        <v>3925</v>
      </c>
      <c r="F388" s="39" t="n">
        <f aca="false">E388*'Assumptions &amp; Data'!E522</f>
        <v>2459012.5</v>
      </c>
      <c r="G388" s="39" t="n">
        <f aca="false">F388*'Assumptions &amp; Data'!F522</f>
        <v>228442.26125</v>
      </c>
      <c r="H388" s="39" t="n">
        <f aca="false">F388-G388</f>
        <v>2230570.23875</v>
      </c>
      <c r="I388" s="39" t="n">
        <f aca="false">H388*'Assumptions &amp; Data'!G522</f>
        <v>375851.085229375</v>
      </c>
      <c r="J388" s="39" t="n">
        <f aca="false">E388*'Assumptions &amp; Data'!H522</f>
        <v>47335.5</v>
      </c>
      <c r="K388" s="39" t="n">
        <f aca="false">H388*'Assumptions &amp; Data'!I522</f>
        <v>39034.979178125</v>
      </c>
      <c r="L388" s="39" t="n">
        <f aca="false">H388*'Assumptions &amp; Data'!J522</f>
        <v>82754.155857625</v>
      </c>
      <c r="M388" s="39" t="n">
        <f aca="false">I388+J388+K388-L388</f>
        <v>379467.408549875</v>
      </c>
      <c r="N388" s="39" t="n">
        <f aca="false">E388*'Assumptions &amp; Data'!N522</f>
        <v>199076</v>
      </c>
      <c r="O388" s="39" t="n">
        <f aca="false">E388*'Assumptions &amp; Data'!O522</f>
        <v>42468.5</v>
      </c>
      <c r="P388" s="39" t="n">
        <f aca="false">H388*'Assumptions &amp; Data'!P522</f>
        <v>21636.531315875</v>
      </c>
      <c r="Q388" s="39" t="n">
        <f aca="false">M388-N388-O388-P388</f>
        <v>116286.377234</v>
      </c>
      <c r="R388" s="39" t="n">
        <f aca="false">'Assumptions &amp; Data'!L522*'Assumptions &amp; Data'!M522</f>
        <v>353600</v>
      </c>
      <c r="S388" s="37" t="n">
        <f aca="false">'Assumptions &amp; Data'!Q522</f>
        <v>796000</v>
      </c>
      <c r="T388" s="37" t="n">
        <f aca="false">'Assumptions &amp; Data'!R522</f>
        <v>169426</v>
      </c>
      <c r="U388" s="37" t="n">
        <f aca="false">'Assumptions &amp; Data'!S522</f>
        <v>69979</v>
      </c>
      <c r="V388" s="39" t="n">
        <f aca="false">Q388-R388-S388-T388-U388</f>
        <v>-1272718.622766</v>
      </c>
      <c r="W388" s="39" t="n">
        <f aca="false">DAY(EOMONTH(C388,0))</f>
        <v>31</v>
      </c>
      <c r="X388" s="40" t="n">
        <f aca="false">E388/W388</f>
        <v>126.612903225806</v>
      </c>
      <c r="Y388" s="39" t="n">
        <f aca="false">R388+S388+T388+U388</f>
        <v>1389005</v>
      </c>
    </row>
    <row r="389" customFormat="false" ht="15" hidden="false" customHeight="false" outlineLevel="0" collapsed="false">
      <c r="A389" s="37" t="str">
        <f aca="false">'Assumptions &amp; Data'!A523</f>
        <v>SM0319</v>
      </c>
      <c r="B389" s="37" t="str">
        <f aca="false">'Assumptions &amp; Data'!B523</f>
        <v>DS027</v>
      </c>
      <c r="C389" s="38" t="n">
        <f aca="false">'Assumptions &amp; Data'!C523</f>
        <v>46113</v>
      </c>
      <c r="D389" s="39" t="str">
        <f aca="false">INDEX('Assumptions &amp; Data'!$B$142:$B$201,MATCH(B389,'Assumptions &amp; Data'!$A$142:$A$201,0))</f>
        <v>Bengaluru</v>
      </c>
      <c r="E389" s="37" t="n">
        <f aca="false">'Assumptions &amp; Data'!D523</f>
        <v>5700</v>
      </c>
      <c r="F389" s="39" t="n">
        <f aca="false">E389*'Assumptions &amp; Data'!E523</f>
        <v>3457050</v>
      </c>
      <c r="G389" s="39" t="n">
        <f aca="false">F389*'Assumptions &amp; Data'!F523</f>
        <v>306640.335</v>
      </c>
      <c r="H389" s="39" t="n">
        <f aca="false">F389-G389</f>
        <v>3150409.665</v>
      </c>
      <c r="I389" s="39" t="n">
        <f aca="false">H389*'Assumptions &amp; Data'!G523</f>
        <v>518242.3898925</v>
      </c>
      <c r="J389" s="39" t="n">
        <f aca="false">E389*'Assumptions &amp; Data'!H523</f>
        <v>68400</v>
      </c>
      <c r="K389" s="39" t="n">
        <f aca="false">H389*'Assumptions &amp; Data'!I523</f>
        <v>55447.210104</v>
      </c>
      <c r="L389" s="39" t="n">
        <f aca="false">H389*'Assumptions &amp; Data'!J523</f>
        <v>110264.338275</v>
      </c>
      <c r="M389" s="39" t="n">
        <f aca="false">I389+J389+K389-L389</f>
        <v>531825.2617215</v>
      </c>
      <c r="N389" s="39" t="n">
        <f aca="false">E389*'Assumptions &amp; Data'!N523</f>
        <v>282207</v>
      </c>
      <c r="O389" s="39" t="n">
        <f aca="false">E389*'Assumptions &amp; Data'!O523</f>
        <v>60990</v>
      </c>
      <c r="P389" s="39" t="n">
        <f aca="false">H389*'Assumptions &amp; Data'!P523</f>
        <v>32764.260516</v>
      </c>
      <c r="Q389" s="39" t="n">
        <f aca="false">M389-N389-O389-P389</f>
        <v>155864.0012055</v>
      </c>
      <c r="R389" s="39" t="n">
        <f aca="false">'Assumptions &amp; Data'!L523*'Assumptions &amp; Data'!M523</f>
        <v>353920</v>
      </c>
      <c r="S389" s="37" t="n">
        <f aca="false">'Assumptions &amp; Data'!Q523</f>
        <v>796000</v>
      </c>
      <c r="T389" s="37" t="n">
        <f aca="false">'Assumptions &amp; Data'!R523</f>
        <v>168070</v>
      </c>
      <c r="U389" s="37" t="n">
        <f aca="false">'Assumptions &amp; Data'!S523</f>
        <v>89041</v>
      </c>
      <c r="V389" s="39" t="n">
        <f aca="false">Q389-R389-S389-T389-U389</f>
        <v>-1251166.9987945</v>
      </c>
      <c r="W389" s="39" t="n">
        <f aca="false">DAY(EOMONTH(C389,0))</f>
        <v>30</v>
      </c>
      <c r="X389" s="40" t="n">
        <f aca="false">E389/W389</f>
        <v>190</v>
      </c>
      <c r="Y389" s="39" t="n">
        <f aca="false">R389+S389+T389+U389</f>
        <v>1407031</v>
      </c>
    </row>
    <row r="390" customFormat="false" ht="15" hidden="false" customHeight="false" outlineLevel="0" collapsed="false">
      <c r="A390" s="37" t="str">
        <f aca="false">'Assumptions &amp; Data'!A524</f>
        <v>SM0320</v>
      </c>
      <c r="B390" s="37" t="str">
        <f aca="false">'Assumptions &amp; Data'!B524</f>
        <v>DS027</v>
      </c>
      <c r="C390" s="38" t="n">
        <f aca="false">'Assumptions &amp; Data'!C524</f>
        <v>46143</v>
      </c>
      <c r="D390" s="39" t="str">
        <f aca="false">INDEX('Assumptions &amp; Data'!$B$142:$B$201,MATCH(B390,'Assumptions &amp; Data'!$A$142:$A$201,0))</f>
        <v>Bengaluru</v>
      </c>
      <c r="E390" s="37" t="n">
        <f aca="false">'Assumptions &amp; Data'!D524</f>
        <v>7570</v>
      </c>
      <c r="F390" s="39" t="n">
        <f aca="false">E390*'Assumptions &amp; Data'!E524</f>
        <v>4653279</v>
      </c>
      <c r="G390" s="39" t="n">
        <f aca="false">F390*'Assumptions &amp; Data'!F524</f>
        <v>414141.831</v>
      </c>
      <c r="H390" s="39" t="n">
        <f aca="false">F390-G390</f>
        <v>4239137.169</v>
      </c>
      <c r="I390" s="39" t="n">
        <f aca="false">H390*'Assumptions &amp; Data'!G524</f>
        <v>690555.4448301</v>
      </c>
      <c r="J390" s="39" t="n">
        <f aca="false">E390*'Assumptions &amp; Data'!H524</f>
        <v>91597</v>
      </c>
      <c r="K390" s="39" t="n">
        <f aca="false">H390*'Assumptions &amp; Data'!I524</f>
        <v>80967.5199279</v>
      </c>
      <c r="L390" s="39" t="n">
        <f aca="false">H390*'Assumptions &amp; Data'!J524</f>
        <v>142011.0951615</v>
      </c>
      <c r="M390" s="39" t="n">
        <f aca="false">I390+J390+K390-L390</f>
        <v>721108.8695965</v>
      </c>
      <c r="N390" s="39" t="n">
        <f aca="false">E390*'Assumptions &amp; Data'!N524</f>
        <v>366388</v>
      </c>
      <c r="O390" s="39" t="n">
        <f aca="false">E390*'Assumptions &amp; Data'!O524</f>
        <v>78198.1</v>
      </c>
      <c r="P390" s="39" t="n">
        <f aca="false">H390*'Assumptions &amp; Data'!P524</f>
        <v>41543.5442562</v>
      </c>
      <c r="Q390" s="39" t="n">
        <f aca="false">M390-N390-O390-P390</f>
        <v>234979.2253403</v>
      </c>
      <c r="R390" s="39" t="n">
        <f aca="false">'Assumptions &amp; Data'!L524*'Assumptions &amp; Data'!M524</f>
        <v>354240</v>
      </c>
      <c r="S390" s="37" t="n">
        <f aca="false">'Assumptions &amp; Data'!Q524</f>
        <v>796000</v>
      </c>
      <c r="T390" s="37" t="n">
        <f aca="false">'Assumptions &amp; Data'!R524</f>
        <v>164108</v>
      </c>
      <c r="U390" s="37" t="n">
        <f aca="false">'Assumptions &amp; Data'!S524</f>
        <v>109453</v>
      </c>
      <c r="V390" s="39" t="n">
        <f aca="false">Q390-R390-S390-T390-U390</f>
        <v>-1188821.7746597</v>
      </c>
      <c r="W390" s="39" t="n">
        <f aca="false">DAY(EOMONTH(C390,0))</f>
        <v>31</v>
      </c>
      <c r="X390" s="40" t="n">
        <f aca="false">E390/W390</f>
        <v>244.193548387097</v>
      </c>
      <c r="Y390" s="39" t="n">
        <f aca="false">R390+S390+T390+U390</f>
        <v>1423801</v>
      </c>
    </row>
    <row r="391" customFormat="false" ht="15" hidden="false" customHeight="false" outlineLevel="0" collapsed="false">
      <c r="A391" s="37" t="str">
        <f aca="false">'Assumptions &amp; Data'!A525</f>
        <v>SM0321</v>
      </c>
      <c r="B391" s="37" t="str">
        <f aca="false">'Assumptions &amp; Data'!B525</f>
        <v>DS027</v>
      </c>
      <c r="C391" s="38" t="n">
        <f aca="false">'Assumptions &amp; Data'!C525</f>
        <v>46174</v>
      </c>
      <c r="D391" s="39" t="str">
        <f aca="false">INDEX('Assumptions &amp; Data'!$B$142:$B$201,MATCH(B391,'Assumptions &amp; Data'!$A$142:$A$201,0))</f>
        <v>Bengaluru</v>
      </c>
      <c r="E391" s="37" t="n">
        <f aca="false">'Assumptions &amp; Data'!D525</f>
        <v>9083</v>
      </c>
      <c r="F391" s="39" t="n">
        <f aca="false">E391*'Assumptions &amp; Data'!E525</f>
        <v>5706848.9</v>
      </c>
      <c r="G391" s="39" t="n">
        <f aca="false">F391*'Assumptions &amp; Data'!F525</f>
        <v>471385.71914</v>
      </c>
      <c r="H391" s="39" t="n">
        <f aca="false">F391-G391</f>
        <v>5235463.18086</v>
      </c>
      <c r="I391" s="39" t="n">
        <f aca="false">H391*'Assumptions &amp; Data'!G525</f>
        <v>885316.823883426</v>
      </c>
      <c r="J391" s="39" t="n">
        <f aca="false">E391*'Assumptions &amp; Data'!H525</f>
        <v>103092.05</v>
      </c>
      <c r="K391" s="39" t="n">
        <f aca="false">H391*'Assumptions &amp; Data'!I525</f>
        <v>101567.985708684</v>
      </c>
      <c r="L391" s="39" t="n">
        <f aca="false">H391*'Assumptions &amp; Data'!J525</f>
        <v>168058.368105606</v>
      </c>
      <c r="M391" s="39" t="n">
        <f aca="false">I391+J391+K391-L391</f>
        <v>921918.491486504</v>
      </c>
      <c r="N391" s="39" t="n">
        <f aca="false">E391*'Assumptions &amp; Data'!N525</f>
        <v>433713.25</v>
      </c>
      <c r="O391" s="39" t="n">
        <f aca="false">E391*'Assumptions &amp; Data'!O525</f>
        <v>94463.2</v>
      </c>
      <c r="P391" s="39" t="n">
        <f aca="false">H391*'Assumptions &amp; Data'!P525</f>
        <v>56543.002353288</v>
      </c>
      <c r="Q391" s="39" t="n">
        <f aca="false">M391-N391-O391-P391</f>
        <v>337199.039133216</v>
      </c>
      <c r="R391" s="39" t="n">
        <f aca="false">'Assumptions &amp; Data'!L525*'Assumptions &amp; Data'!M525</f>
        <v>354560</v>
      </c>
      <c r="S391" s="37" t="n">
        <f aca="false">'Assumptions &amp; Data'!Q525</f>
        <v>796000</v>
      </c>
      <c r="T391" s="37" t="n">
        <f aca="false">'Assumptions &amp; Data'!R525</f>
        <v>158894</v>
      </c>
      <c r="U391" s="37" t="n">
        <f aca="false">'Assumptions &amp; Data'!S525</f>
        <v>128640</v>
      </c>
      <c r="V391" s="39" t="n">
        <f aca="false">Q391-R391-S391-T391-U391</f>
        <v>-1100894.96086678</v>
      </c>
      <c r="W391" s="39" t="n">
        <f aca="false">DAY(EOMONTH(C391,0))</f>
        <v>30</v>
      </c>
      <c r="X391" s="40" t="n">
        <f aca="false">E391/W391</f>
        <v>302.766666666667</v>
      </c>
      <c r="Y391" s="39" t="n">
        <f aca="false">R391+S391+T391+U391</f>
        <v>1438094</v>
      </c>
    </row>
    <row r="392" customFormat="false" ht="15" hidden="false" customHeight="false" outlineLevel="0" collapsed="false">
      <c r="A392" s="37" t="str">
        <f aca="false">'Assumptions &amp; Data'!A526</f>
        <v>SM0322</v>
      </c>
      <c r="B392" s="37" t="str">
        <f aca="false">'Assumptions &amp; Data'!B526</f>
        <v>DS027</v>
      </c>
      <c r="C392" s="38" t="n">
        <f aca="false">'Assumptions &amp; Data'!C526</f>
        <v>46204</v>
      </c>
      <c r="D392" s="39" t="str">
        <f aca="false">INDEX('Assumptions &amp; Data'!$B$142:$B$201,MATCH(B392,'Assumptions &amp; Data'!$A$142:$A$201,0))</f>
        <v>Bengaluru</v>
      </c>
      <c r="E392" s="37" t="n">
        <f aca="false">'Assumptions &amp; Data'!D526</f>
        <v>9415</v>
      </c>
      <c r="F392" s="39" t="n">
        <f aca="false">E392*'Assumptions &amp; Data'!E526</f>
        <v>5929567</v>
      </c>
      <c r="G392" s="39" t="n">
        <f aca="false">F392*'Assumptions &amp; Data'!F526</f>
        <v>477923.1002</v>
      </c>
      <c r="H392" s="39" t="n">
        <f aca="false">F392-G392</f>
        <v>5451643.8998</v>
      </c>
      <c r="I392" s="39" t="n">
        <f aca="false">H392*'Assumptions &amp; Data'!G526</f>
        <v>892434.10639726</v>
      </c>
      <c r="J392" s="39" t="n">
        <f aca="false">E392*'Assumptions &amp; Data'!H526</f>
        <v>114109.8</v>
      </c>
      <c r="K392" s="39" t="n">
        <f aca="false">H392*'Assumptions &amp; Data'!I526</f>
        <v>107397.38482606</v>
      </c>
      <c r="L392" s="39" t="n">
        <f aca="false">H392*'Assumptions &amp; Data'!J526</f>
        <v>165184.81016394</v>
      </c>
      <c r="M392" s="39" t="n">
        <f aca="false">I392+J392+K392-L392</f>
        <v>948756.48105938</v>
      </c>
      <c r="N392" s="39" t="n">
        <f aca="false">E392*'Assumptions &amp; Data'!N526</f>
        <v>445141.2</v>
      </c>
      <c r="O392" s="39" t="n">
        <f aca="false">E392*'Assumptions &amp; Data'!O526</f>
        <v>98480.9</v>
      </c>
      <c r="P392" s="39" t="n">
        <f aca="false">H392*'Assumptions &amp; Data'!P526</f>
        <v>56151.93216794</v>
      </c>
      <c r="Q392" s="39" t="n">
        <f aca="false">M392-N392-O392-P392</f>
        <v>348982.44889144</v>
      </c>
      <c r="R392" s="39" t="n">
        <f aca="false">'Assumptions &amp; Data'!L526*'Assumptions &amp; Data'!M526</f>
        <v>354880</v>
      </c>
      <c r="S392" s="37" t="n">
        <f aca="false">'Assumptions &amp; Data'!Q526</f>
        <v>796000</v>
      </c>
      <c r="T392" s="37" t="n">
        <f aca="false">'Assumptions &amp; Data'!R526</f>
        <v>168699</v>
      </c>
      <c r="U392" s="37" t="n">
        <f aca="false">'Assumptions &amp; Data'!S526</f>
        <v>117237</v>
      </c>
      <c r="V392" s="39" t="n">
        <f aca="false">Q392-R392-S392-T392-U392</f>
        <v>-1087833.55110856</v>
      </c>
      <c r="W392" s="39" t="n">
        <f aca="false">DAY(EOMONTH(C392,0))</f>
        <v>31</v>
      </c>
      <c r="X392" s="40" t="n">
        <f aca="false">E392/W392</f>
        <v>303.709677419355</v>
      </c>
      <c r="Y392" s="39" t="n">
        <f aca="false">R392+S392+T392+U392</f>
        <v>1436816</v>
      </c>
    </row>
    <row r="393" customFormat="false" ht="15" hidden="false" customHeight="false" outlineLevel="0" collapsed="false">
      <c r="A393" s="37" t="str">
        <f aca="false">'Assumptions &amp; Data'!A527</f>
        <v>SM0323</v>
      </c>
      <c r="B393" s="37" t="str">
        <f aca="false">'Assumptions &amp; Data'!B527</f>
        <v>DS027</v>
      </c>
      <c r="C393" s="38" t="n">
        <f aca="false">'Assumptions &amp; Data'!C527</f>
        <v>46235</v>
      </c>
      <c r="D393" s="39" t="str">
        <f aca="false">INDEX('Assumptions &amp; Data'!$B$142:$B$201,MATCH(B393,'Assumptions &amp; Data'!$A$142:$A$201,0))</f>
        <v>Bengaluru</v>
      </c>
      <c r="E393" s="37" t="n">
        <f aca="false">'Assumptions &amp; Data'!D527</f>
        <v>11116</v>
      </c>
      <c r="F393" s="39" t="n">
        <f aca="false">E393*'Assumptions &amp; Data'!E527</f>
        <v>7031981.6</v>
      </c>
      <c r="G393" s="39" t="n">
        <f aca="false">F393*'Assumptions &amp; Data'!F527</f>
        <v>535133.79976</v>
      </c>
      <c r="H393" s="39" t="n">
        <f aca="false">F393-G393</f>
        <v>6496847.80024</v>
      </c>
      <c r="I393" s="39" t="n">
        <f aca="false">H393*'Assumptions &amp; Data'!G527</f>
        <v>1077827.05005982</v>
      </c>
      <c r="J393" s="39" t="n">
        <f aca="false">E393*'Assumptions &amp; Data'!H527</f>
        <v>137171.44</v>
      </c>
      <c r="K393" s="39" t="n">
        <f aca="false">H393*'Assumptions &amp; Data'!I527</f>
        <v>124739.477764608</v>
      </c>
      <c r="L393" s="39" t="n">
        <f aca="false">H393*'Assumptions &amp; Data'!J527</f>
        <v>204650.70570756</v>
      </c>
      <c r="M393" s="39" t="n">
        <f aca="false">I393+J393+K393-L393</f>
        <v>1135087.26211686</v>
      </c>
      <c r="N393" s="39" t="n">
        <f aca="false">E393*'Assumptions &amp; Data'!N527</f>
        <v>523674.76</v>
      </c>
      <c r="O393" s="39" t="n">
        <f aca="false">E393*'Assumptions &amp; Data'!O527</f>
        <v>111048.84</v>
      </c>
      <c r="P393" s="39" t="n">
        <f aca="false">H393*'Assumptions &amp; Data'!P527</f>
        <v>66267.847562448</v>
      </c>
      <c r="Q393" s="39" t="n">
        <f aca="false">M393-N393-O393-P393</f>
        <v>434095.814554416</v>
      </c>
      <c r="R393" s="39" t="n">
        <f aca="false">'Assumptions &amp; Data'!L527*'Assumptions &amp; Data'!M527</f>
        <v>355200</v>
      </c>
      <c r="S393" s="37" t="n">
        <f aca="false">'Assumptions &amp; Data'!Q527</f>
        <v>796000</v>
      </c>
      <c r="T393" s="37" t="n">
        <f aca="false">'Assumptions &amp; Data'!R527</f>
        <v>157304</v>
      </c>
      <c r="U393" s="37" t="n">
        <f aca="false">'Assumptions &amp; Data'!S527</f>
        <v>124399</v>
      </c>
      <c r="V393" s="39" t="n">
        <f aca="false">Q393-R393-S393-T393-U393</f>
        <v>-998807.185445584</v>
      </c>
      <c r="W393" s="39" t="n">
        <f aca="false">DAY(EOMONTH(C393,0))</f>
        <v>31</v>
      </c>
      <c r="X393" s="40" t="n">
        <f aca="false">E393/W393</f>
        <v>358.58064516129</v>
      </c>
      <c r="Y393" s="39" t="n">
        <f aca="false">R393+S393+T393+U393</f>
        <v>1432903</v>
      </c>
    </row>
    <row r="394" customFormat="false" ht="15" hidden="false" customHeight="false" outlineLevel="0" collapsed="false">
      <c r="A394" s="37" t="str">
        <f aca="false">'Assumptions &amp; Data'!A528</f>
        <v>SM0324</v>
      </c>
      <c r="B394" s="37" t="str">
        <f aca="false">'Assumptions &amp; Data'!B528</f>
        <v>DS027</v>
      </c>
      <c r="C394" s="38" t="n">
        <f aca="false">'Assumptions &amp; Data'!C528</f>
        <v>46266</v>
      </c>
      <c r="D394" s="39" t="str">
        <f aca="false">INDEX('Assumptions &amp; Data'!$B$142:$B$201,MATCH(B394,'Assumptions &amp; Data'!$A$142:$A$201,0))</f>
        <v>Bengaluru</v>
      </c>
      <c r="E394" s="37" t="n">
        <f aca="false">'Assumptions &amp; Data'!D528</f>
        <v>11759</v>
      </c>
      <c r="F394" s="39" t="n">
        <f aca="false">E394*'Assumptions &amp; Data'!E528</f>
        <v>7351726.8</v>
      </c>
      <c r="G394" s="39" t="n">
        <f aca="false">F394*'Assumptions &amp; Data'!F528</f>
        <v>574169.86308</v>
      </c>
      <c r="H394" s="39" t="n">
        <f aca="false">F394-G394</f>
        <v>6777556.93692</v>
      </c>
      <c r="I394" s="39" t="n">
        <f aca="false">H394*'Assumptions &amp; Data'!G528</f>
        <v>1120330.16167288</v>
      </c>
      <c r="J394" s="39" t="n">
        <f aca="false">E394*'Assumptions &amp; Data'!H528</f>
        <v>135934.04</v>
      </c>
      <c r="K394" s="39" t="n">
        <f aca="false">H394*'Assumptions &amp; Data'!I528</f>
        <v>140973.184287936</v>
      </c>
      <c r="L394" s="39" t="n">
        <f aca="false">H394*'Assumptions &amp; Data'!J528</f>
        <v>212137.532125596</v>
      </c>
      <c r="M394" s="39" t="n">
        <f aca="false">I394+J394+K394-L394</f>
        <v>1185099.85383522</v>
      </c>
      <c r="N394" s="39" t="n">
        <f aca="false">E394*'Assumptions &amp; Data'!N528</f>
        <v>553966.49</v>
      </c>
      <c r="O394" s="39" t="n">
        <f aca="false">E394*'Assumptions &amp; Data'!O528</f>
        <v>128055.51</v>
      </c>
      <c r="P394" s="39" t="n">
        <f aca="false">H394*'Assumptions &amp; Data'!P528</f>
        <v>64386.79090074</v>
      </c>
      <c r="Q394" s="39" t="n">
        <f aca="false">M394-N394-O394-P394</f>
        <v>438691.062934476</v>
      </c>
      <c r="R394" s="39" t="n">
        <f aca="false">'Assumptions &amp; Data'!L528*'Assumptions &amp; Data'!M528</f>
        <v>355520</v>
      </c>
      <c r="S394" s="37" t="n">
        <f aca="false">'Assumptions &amp; Data'!Q528</f>
        <v>796000</v>
      </c>
      <c r="T394" s="37" t="n">
        <f aca="false">'Assumptions &amp; Data'!R528</f>
        <v>161391</v>
      </c>
      <c r="U394" s="37" t="n">
        <f aca="false">'Assumptions &amp; Data'!S528</f>
        <v>121268</v>
      </c>
      <c r="V394" s="39" t="n">
        <f aca="false">Q394-R394-S394-T394-U394</f>
        <v>-995487.937065524</v>
      </c>
      <c r="W394" s="39" t="n">
        <f aca="false">DAY(EOMONTH(C394,0))</f>
        <v>30</v>
      </c>
      <c r="X394" s="40" t="n">
        <f aca="false">E394/W394</f>
        <v>391.966666666667</v>
      </c>
      <c r="Y394" s="39" t="n">
        <f aca="false">R394+S394+T394+U394</f>
        <v>1434179</v>
      </c>
    </row>
    <row r="395" customFormat="false" ht="15" hidden="false" customHeight="false" outlineLevel="0" collapsed="false">
      <c r="A395" s="37" t="str">
        <f aca="false">'Assumptions &amp; Data'!A529</f>
        <v>SM0325</v>
      </c>
      <c r="B395" s="37" t="str">
        <f aca="false">'Assumptions &amp; Data'!B529</f>
        <v>DS028</v>
      </c>
      <c r="C395" s="38" t="n">
        <f aca="false">'Assumptions &amp; Data'!C529</f>
        <v>45931</v>
      </c>
      <c r="D395" s="39" t="str">
        <f aca="false">INDEX('Assumptions &amp; Data'!$B$142:$B$201,MATCH(B395,'Assumptions &amp; Data'!$A$142:$A$201,0))</f>
        <v>Bengaluru</v>
      </c>
      <c r="E395" s="37" t="n">
        <f aca="false">'Assumptions &amp; Data'!D529</f>
        <v>27715</v>
      </c>
      <c r="F395" s="39" t="n">
        <f aca="false">E395*'Assumptions &amp; Data'!E529</f>
        <v>19386642.5</v>
      </c>
      <c r="G395" s="39" t="n">
        <f aca="false">F395*'Assumptions &amp; Data'!F529</f>
        <v>1027492.0525</v>
      </c>
      <c r="H395" s="39" t="n">
        <f aca="false">F395-G395</f>
        <v>18359150.4475</v>
      </c>
      <c r="I395" s="39" t="n">
        <f aca="false">H395*'Assumptions &amp; Data'!G529</f>
        <v>3106368.255717</v>
      </c>
      <c r="J395" s="39" t="n">
        <f aca="false">E395*'Assumptions &amp; Data'!H529</f>
        <v>363066.5</v>
      </c>
      <c r="K395" s="39" t="n">
        <f aca="false">H395*'Assumptions &amp; Data'!I529</f>
        <v>512220.29748525</v>
      </c>
      <c r="L395" s="39" t="n">
        <f aca="false">H395*'Assumptions &amp; Data'!J529</f>
        <v>361675.26381575</v>
      </c>
      <c r="M395" s="39" t="n">
        <f aca="false">I395+J395+K395-L395</f>
        <v>3619979.7893865</v>
      </c>
      <c r="N395" s="39" t="n">
        <f aca="false">E395*'Assumptions &amp; Data'!N529</f>
        <v>1117468.8</v>
      </c>
      <c r="O395" s="39" t="n">
        <f aca="false">E395*'Assumptions &amp; Data'!O529</f>
        <v>302370.65</v>
      </c>
      <c r="P395" s="39" t="n">
        <f aca="false">H395*'Assumptions &amp; Data'!P529</f>
        <v>183591.504475</v>
      </c>
      <c r="Q395" s="39" t="n">
        <f aca="false">M395-N395-O395-P395</f>
        <v>2016548.8349115</v>
      </c>
      <c r="R395" s="39" t="n">
        <f aca="false">'Assumptions &amp; Data'!L529*'Assumptions &amp; Data'!M529</f>
        <v>572000</v>
      </c>
      <c r="S395" s="37" t="n">
        <f aca="false">'Assumptions &amp; Data'!Q529</f>
        <v>549500</v>
      </c>
      <c r="T395" s="37" t="n">
        <f aca="false">'Assumptions &amp; Data'!R529</f>
        <v>159843</v>
      </c>
      <c r="U395" s="37" t="n">
        <f aca="false">'Assumptions &amp; Data'!S529</f>
        <v>201602</v>
      </c>
      <c r="V395" s="39" t="n">
        <f aca="false">Q395-R395-S395-T395-U395</f>
        <v>533603.8349115</v>
      </c>
      <c r="W395" s="39" t="n">
        <f aca="false">DAY(EOMONTH(C395,0))</f>
        <v>31</v>
      </c>
      <c r="X395" s="40" t="n">
        <f aca="false">E395/W395</f>
        <v>894.032258064516</v>
      </c>
      <c r="Y395" s="39" t="n">
        <f aca="false">R395+S395+T395+U395</f>
        <v>1482945</v>
      </c>
    </row>
    <row r="396" customFormat="false" ht="15" hidden="false" customHeight="false" outlineLevel="0" collapsed="false">
      <c r="A396" s="37" t="str">
        <f aca="false">'Assumptions &amp; Data'!A530</f>
        <v>SM0326</v>
      </c>
      <c r="B396" s="37" t="str">
        <f aca="false">'Assumptions &amp; Data'!B530</f>
        <v>DS028</v>
      </c>
      <c r="C396" s="38" t="n">
        <f aca="false">'Assumptions &amp; Data'!C530</f>
        <v>45962</v>
      </c>
      <c r="D396" s="39" t="str">
        <f aca="false">INDEX('Assumptions &amp; Data'!$B$142:$B$201,MATCH(B396,'Assumptions &amp; Data'!$A$142:$A$201,0))</f>
        <v>Bengaluru</v>
      </c>
      <c r="E396" s="37" t="n">
        <f aca="false">'Assumptions &amp; Data'!D530</f>
        <v>28609</v>
      </c>
      <c r="F396" s="39" t="n">
        <f aca="false">E396*'Assumptions &amp; Data'!E530</f>
        <v>19574277.8</v>
      </c>
      <c r="G396" s="39" t="n">
        <f aca="false">F396*'Assumptions &amp; Data'!F530</f>
        <v>1055053.57342</v>
      </c>
      <c r="H396" s="39" t="n">
        <f aca="false">F396-G396</f>
        <v>18519224.22658</v>
      </c>
      <c r="I396" s="39" t="n">
        <f aca="false">H396*'Assumptions &amp; Data'!G530</f>
        <v>3079746.98888025</v>
      </c>
      <c r="J396" s="39" t="n">
        <f aca="false">E396*'Assumptions &amp; Data'!H530</f>
        <v>355609.87</v>
      </c>
      <c r="K396" s="39" t="n">
        <f aca="false">H396*'Assumptions &amp; Data'!I530</f>
        <v>525945.968034872</v>
      </c>
      <c r="L396" s="39" t="n">
        <f aca="false">H396*'Assumptions &amp; Data'!J530</f>
        <v>366680.639686284</v>
      </c>
      <c r="M396" s="39" t="n">
        <f aca="false">I396+J396+K396-L396</f>
        <v>3594622.18722884</v>
      </c>
      <c r="N396" s="39" t="n">
        <f aca="false">E396*'Assumptions &amp; Data'!N530</f>
        <v>1151798.34</v>
      </c>
      <c r="O396" s="39" t="n">
        <f aca="false">E396*'Assumptions &amp; Data'!O530</f>
        <v>296675.33</v>
      </c>
      <c r="P396" s="39" t="n">
        <f aca="false">H396*'Assumptions &amp; Data'!P530</f>
        <v>185192.2422658</v>
      </c>
      <c r="Q396" s="39" t="n">
        <f aca="false">M396-N396-O396-P396</f>
        <v>1960956.27496304</v>
      </c>
      <c r="R396" s="39" t="n">
        <f aca="false">'Assumptions &amp; Data'!L530*'Assumptions &amp; Data'!M530</f>
        <v>572520</v>
      </c>
      <c r="S396" s="37" t="n">
        <f aca="false">'Assumptions &amp; Data'!Q530</f>
        <v>549500</v>
      </c>
      <c r="T396" s="37" t="n">
        <f aca="false">'Assumptions &amp; Data'!R530</f>
        <v>157951</v>
      </c>
      <c r="U396" s="37" t="n">
        <f aca="false">'Assumptions &amp; Data'!S530</f>
        <v>198762</v>
      </c>
      <c r="V396" s="39" t="n">
        <f aca="false">Q396-R396-S396-T396-U396</f>
        <v>482223.274963042</v>
      </c>
      <c r="W396" s="39" t="n">
        <f aca="false">DAY(EOMONTH(C396,0))</f>
        <v>30</v>
      </c>
      <c r="X396" s="40" t="n">
        <f aca="false">E396/W396</f>
        <v>953.633333333333</v>
      </c>
      <c r="Y396" s="39" t="n">
        <f aca="false">R396+S396+T396+U396</f>
        <v>1478733</v>
      </c>
    </row>
    <row r="397" customFormat="false" ht="15" hidden="false" customHeight="false" outlineLevel="0" collapsed="false">
      <c r="A397" s="37" t="str">
        <f aca="false">'Assumptions &amp; Data'!A531</f>
        <v>SM0327</v>
      </c>
      <c r="B397" s="37" t="str">
        <f aca="false">'Assumptions &amp; Data'!B531</f>
        <v>DS028</v>
      </c>
      <c r="C397" s="38" t="n">
        <f aca="false">'Assumptions &amp; Data'!C531</f>
        <v>45992</v>
      </c>
      <c r="D397" s="39" t="str">
        <f aca="false">INDEX('Assumptions &amp; Data'!$B$142:$B$201,MATCH(B397,'Assumptions &amp; Data'!$A$142:$A$201,0))</f>
        <v>Bengaluru</v>
      </c>
      <c r="E397" s="37" t="n">
        <f aca="false">'Assumptions &amp; Data'!D531</f>
        <v>29827</v>
      </c>
      <c r="F397" s="39" t="n">
        <f aca="false">E397*'Assumptions &amp; Data'!E531</f>
        <v>20664145.6</v>
      </c>
      <c r="G397" s="39" t="n">
        <f aca="false">F397*'Assumptions &amp; Data'!F531</f>
        <v>1161324.98272</v>
      </c>
      <c r="H397" s="39" t="n">
        <f aca="false">F397-G397</f>
        <v>19502820.61728</v>
      </c>
      <c r="I397" s="39" t="n">
        <f aca="false">H397*'Assumptions &amp; Data'!G531</f>
        <v>3235517.94040675</v>
      </c>
      <c r="J397" s="39" t="n">
        <f aca="false">E397*'Assumptions &amp; Data'!H531</f>
        <v>379399.44</v>
      </c>
      <c r="K397" s="39" t="n">
        <f aca="false">H397*'Assumptions &amp; Data'!I531</f>
        <v>551929.823469024</v>
      </c>
      <c r="L397" s="39" t="n">
        <f aca="false">H397*'Assumptions &amp; Data'!J531</f>
        <v>407608.950901152</v>
      </c>
      <c r="M397" s="39" t="n">
        <f aca="false">I397+J397+K397-L397</f>
        <v>3759238.25297462</v>
      </c>
      <c r="N397" s="39" t="n">
        <f aca="false">E397*'Assumptions &amp; Data'!N531</f>
        <v>1176078.61</v>
      </c>
      <c r="O397" s="39" t="n">
        <f aca="false">E397*'Assumptions &amp; Data'!O531</f>
        <v>310797.34</v>
      </c>
      <c r="P397" s="39" t="n">
        <f aca="false">H397*'Assumptions &amp; Data'!P531</f>
        <v>185276.79586416</v>
      </c>
      <c r="Q397" s="39" t="n">
        <f aca="false">M397-N397-O397-P397</f>
        <v>2087085.50711046</v>
      </c>
      <c r="R397" s="39" t="n">
        <f aca="false">'Assumptions &amp; Data'!L531*'Assumptions &amp; Data'!M531</f>
        <v>573040</v>
      </c>
      <c r="S397" s="37" t="n">
        <f aca="false">'Assumptions &amp; Data'!Q531</f>
        <v>549500</v>
      </c>
      <c r="T397" s="37" t="n">
        <f aca="false">'Assumptions &amp; Data'!R531</f>
        <v>147589</v>
      </c>
      <c r="U397" s="37" t="n">
        <f aca="false">'Assumptions &amp; Data'!S531</f>
        <v>187815</v>
      </c>
      <c r="V397" s="39" t="n">
        <f aca="false">Q397-R397-S397-T397-U397</f>
        <v>629141.507110464</v>
      </c>
      <c r="W397" s="39" t="n">
        <f aca="false">DAY(EOMONTH(C397,0))</f>
        <v>31</v>
      </c>
      <c r="X397" s="40" t="n">
        <f aca="false">E397/W397</f>
        <v>962.161290322581</v>
      </c>
      <c r="Y397" s="39" t="n">
        <f aca="false">R397+S397+T397+U397</f>
        <v>1457944</v>
      </c>
    </row>
    <row r="398" customFormat="false" ht="15" hidden="false" customHeight="false" outlineLevel="0" collapsed="false">
      <c r="A398" s="37" t="str">
        <f aca="false">'Assumptions &amp; Data'!A532</f>
        <v>SM0328</v>
      </c>
      <c r="B398" s="37" t="str">
        <f aca="false">'Assumptions &amp; Data'!B532</f>
        <v>DS028</v>
      </c>
      <c r="C398" s="38" t="n">
        <f aca="false">'Assumptions &amp; Data'!C532</f>
        <v>46023</v>
      </c>
      <c r="D398" s="39" t="str">
        <f aca="false">INDEX('Assumptions &amp; Data'!$B$142:$B$201,MATCH(B398,'Assumptions &amp; Data'!$A$142:$A$201,0))</f>
        <v>Bengaluru</v>
      </c>
      <c r="E398" s="37" t="n">
        <f aca="false">'Assumptions &amp; Data'!D532</f>
        <v>28958</v>
      </c>
      <c r="F398" s="39" t="n">
        <f aca="false">E398*'Assumptions &amp; Data'!E532</f>
        <v>19847813.2</v>
      </c>
      <c r="G398" s="39" t="n">
        <f aca="false">F398*'Assumptions &amp; Data'!F532</f>
        <v>1190868.792</v>
      </c>
      <c r="H398" s="39" t="n">
        <f aca="false">F398-G398</f>
        <v>18656944.408</v>
      </c>
      <c r="I398" s="39" t="n">
        <f aca="false">H398*'Assumptions &amp; Data'!G532</f>
        <v>3143695.132748</v>
      </c>
      <c r="J398" s="39" t="n">
        <f aca="false">E398*'Assumptions &amp; Data'!H532</f>
        <v>363422.9</v>
      </c>
      <c r="K398" s="39" t="n">
        <f aca="false">H398*'Assumptions &amp; Data'!I532</f>
        <v>503737.499016</v>
      </c>
      <c r="L398" s="39" t="n">
        <f aca="false">H398*'Assumptions &amp; Data'!J532</f>
        <v>373138.88816</v>
      </c>
      <c r="M398" s="39" t="n">
        <f aca="false">I398+J398+K398-L398</f>
        <v>3637716.643604</v>
      </c>
      <c r="N398" s="39" t="n">
        <f aca="false">E398*'Assumptions &amp; Data'!N532</f>
        <v>1144130.58</v>
      </c>
      <c r="O398" s="39" t="n">
        <f aca="false">E398*'Assumptions &amp; Data'!O532</f>
        <v>300873.62</v>
      </c>
      <c r="P398" s="39" t="n">
        <f aca="false">H398*'Assumptions &amp; Data'!P532</f>
        <v>190300.8329616</v>
      </c>
      <c r="Q398" s="39" t="n">
        <f aca="false">M398-N398-O398-P398</f>
        <v>2002411.6106424</v>
      </c>
      <c r="R398" s="39" t="n">
        <f aca="false">'Assumptions &amp; Data'!L532*'Assumptions &amp; Data'!M532</f>
        <v>573560</v>
      </c>
      <c r="S398" s="37" t="n">
        <f aca="false">'Assumptions &amp; Data'!Q532</f>
        <v>549500</v>
      </c>
      <c r="T398" s="37" t="n">
        <f aca="false">'Assumptions &amp; Data'!R532</f>
        <v>147806</v>
      </c>
      <c r="U398" s="37" t="n">
        <f aca="false">'Assumptions &amp; Data'!S532</f>
        <v>166762</v>
      </c>
      <c r="V398" s="39" t="n">
        <f aca="false">Q398-R398-S398-T398-U398</f>
        <v>564783.6106424</v>
      </c>
      <c r="W398" s="39" t="n">
        <f aca="false">DAY(EOMONTH(C398,0))</f>
        <v>31</v>
      </c>
      <c r="X398" s="40" t="n">
        <f aca="false">E398/W398</f>
        <v>934.129032258065</v>
      </c>
      <c r="Y398" s="39" t="n">
        <f aca="false">R398+S398+T398+U398</f>
        <v>1437628</v>
      </c>
    </row>
    <row r="399" customFormat="false" ht="15" hidden="false" customHeight="false" outlineLevel="0" collapsed="false">
      <c r="A399" s="37" t="str">
        <f aca="false">'Assumptions &amp; Data'!A533</f>
        <v>SM0329</v>
      </c>
      <c r="B399" s="37" t="str">
        <f aca="false">'Assumptions &amp; Data'!B533</f>
        <v>DS028</v>
      </c>
      <c r="C399" s="38" t="n">
        <f aca="false">'Assumptions &amp; Data'!C533</f>
        <v>46054</v>
      </c>
      <c r="D399" s="39" t="str">
        <f aca="false">INDEX('Assumptions &amp; Data'!$B$142:$B$201,MATCH(B399,'Assumptions &amp; Data'!$A$142:$A$201,0))</f>
        <v>Bengaluru</v>
      </c>
      <c r="E399" s="37" t="n">
        <f aca="false">'Assumptions &amp; Data'!D533</f>
        <v>28342</v>
      </c>
      <c r="F399" s="39" t="n">
        <f aca="false">E399*'Assumptions &amp; Data'!E533</f>
        <v>19357586</v>
      </c>
      <c r="G399" s="39" t="n">
        <f aca="false">F399*'Assumptions &amp; Data'!F533</f>
        <v>1070474.5058</v>
      </c>
      <c r="H399" s="39" t="n">
        <f aca="false">F399-G399</f>
        <v>18287111.4942</v>
      </c>
      <c r="I399" s="39" t="n">
        <f aca="false">H399*'Assumptions &amp; Data'!G533</f>
        <v>3117952.5097611</v>
      </c>
      <c r="J399" s="39" t="n">
        <f aca="false">E399*'Assumptions &amp; Data'!H533</f>
        <v>349173.44</v>
      </c>
      <c r="K399" s="39" t="n">
        <f aca="false">H399*'Assumptions &amp; Data'!I533</f>
        <v>497409.43264224</v>
      </c>
      <c r="L399" s="39" t="n">
        <f aca="false">H399*'Assumptions &amp; Data'!J533</f>
        <v>336482.85149328</v>
      </c>
      <c r="M399" s="39" t="n">
        <f aca="false">I399+J399+K399-L399</f>
        <v>3628052.53091006</v>
      </c>
      <c r="N399" s="39" t="n">
        <f aca="false">E399*'Assumptions &amp; Data'!N533</f>
        <v>1142466.02</v>
      </c>
      <c r="O399" s="39" t="n">
        <f aca="false">E399*'Assumptions &amp; Data'!O533</f>
        <v>306377.02</v>
      </c>
      <c r="P399" s="39" t="n">
        <f aca="false">H399*'Assumptions &amp; Data'!P533</f>
        <v>179213.69264316</v>
      </c>
      <c r="Q399" s="39" t="n">
        <f aca="false">M399-N399-O399-P399</f>
        <v>1999995.7982669</v>
      </c>
      <c r="R399" s="39" t="n">
        <f aca="false">'Assumptions &amp; Data'!L533*'Assumptions &amp; Data'!M533</f>
        <v>618240</v>
      </c>
      <c r="S399" s="37" t="n">
        <f aca="false">'Assumptions &amp; Data'!Q533</f>
        <v>549500</v>
      </c>
      <c r="T399" s="37" t="n">
        <f aca="false">'Assumptions &amp; Data'!R533</f>
        <v>149701</v>
      </c>
      <c r="U399" s="37" t="n">
        <f aca="false">'Assumptions &amp; Data'!S533</f>
        <v>171350</v>
      </c>
      <c r="V399" s="39" t="n">
        <f aca="false">Q399-R399-S399-T399-U399</f>
        <v>511204.7982669</v>
      </c>
      <c r="W399" s="39" t="n">
        <f aca="false">DAY(EOMONTH(C399,0))</f>
        <v>28</v>
      </c>
      <c r="X399" s="40" t="n">
        <f aca="false">E399/W399</f>
        <v>1012.21428571429</v>
      </c>
      <c r="Y399" s="39" t="n">
        <f aca="false">R399+S399+T399+U399</f>
        <v>1488791</v>
      </c>
    </row>
    <row r="400" customFormat="false" ht="15" hidden="false" customHeight="false" outlineLevel="0" collapsed="false">
      <c r="A400" s="37" t="str">
        <f aca="false">'Assumptions &amp; Data'!A534</f>
        <v>SM0330</v>
      </c>
      <c r="B400" s="37" t="str">
        <f aca="false">'Assumptions &amp; Data'!B534</f>
        <v>DS028</v>
      </c>
      <c r="C400" s="38" t="n">
        <f aca="false">'Assumptions &amp; Data'!C534</f>
        <v>46082</v>
      </c>
      <c r="D400" s="39" t="str">
        <f aca="false">INDEX('Assumptions &amp; Data'!$B$142:$B$201,MATCH(B400,'Assumptions &amp; Data'!$A$142:$A$201,0))</f>
        <v>Bengaluru</v>
      </c>
      <c r="E400" s="37" t="n">
        <f aca="false">'Assumptions &amp; Data'!D534</f>
        <v>31251</v>
      </c>
      <c r="F400" s="39" t="n">
        <f aca="false">E400*'Assumptions &amp; Data'!E534</f>
        <v>22078831.5</v>
      </c>
      <c r="G400" s="39" t="n">
        <f aca="false">F400*'Assumptions &amp; Data'!F534</f>
        <v>1103941.575</v>
      </c>
      <c r="H400" s="39" t="n">
        <f aca="false">F400-G400</f>
        <v>20974889.925</v>
      </c>
      <c r="I400" s="39" t="n">
        <f aca="false">H400*'Assumptions &amp; Data'!G534</f>
        <v>3565731.28725</v>
      </c>
      <c r="J400" s="39" t="n">
        <f aca="false">E400*'Assumptions &amp; Data'!H534</f>
        <v>416575.83</v>
      </c>
      <c r="K400" s="39" t="n">
        <f aca="false">H400*'Assumptions &amp; Data'!I534</f>
        <v>574711.983945</v>
      </c>
      <c r="L400" s="39" t="n">
        <f aca="false">H400*'Assumptions &amp; Data'!J534</f>
        <v>409010.3535375</v>
      </c>
      <c r="M400" s="39" t="n">
        <f aca="false">I400+J400+K400-L400</f>
        <v>4148008.7476575</v>
      </c>
      <c r="N400" s="39" t="n">
        <f aca="false">E400*'Assumptions &amp; Data'!N534</f>
        <v>1215351.39</v>
      </c>
      <c r="O400" s="39" t="n">
        <f aca="false">E400*'Assumptions &amp; Data'!O534</f>
        <v>320322.75</v>
      </c>
      <c r="P400" s="39" t="n">
        <f aca="false">H400*'Assumptions &amp; Data'!P534</f>
        <v>216041.3662275</v>
      </c>
      <c r="Q400" s="39" t="n">
        <f aca="false">M400-N400-O400-P400</f>
        <v>2396293.24143</v>
      </c>
      <c r="R400" s="39" t="n">
        <f aca="false">'Assumptions &amp; Data'!L534*'Assumptions &amp; Data'!M534</f>
        <v>618800</v>
      </c>
      <c r="S400" s="37" t="n">
        <f aca="false">'Assumptions &amp; Data'!Q534</f>
        <v>549500</v>
      </c>
      <c r="T400" s="37" t="n">
        <f aca="false">'Assumptions &amp; Data'!R534</f>
        <v>151035</v>
      </c>
      <c r="U400" s="37" t="n">
        <f aca="false">'Assumptions &amp; Data'!S534</f>
        <v>208188</v>
      </c>
      <c r="V400" s="39" t="n">
        <f aca="false">Q400-R400-S400-T400-U400</f>
        <v>868770.24143</v>
      </c>
      <c r="W400" s="39" t="n">
        <f aca="false">DAY(EOMONTH(C400,0))</f>
        <v>31</v>
      </c>
      <c r="X400" s="40" t="n">
        <f aca="false">E400/W400</f>
        <v>1008.09677419355</v>
      </c>
      <c r="Y400" s="39" t="n">
        <f aca="false">R400+S400+T400+U400</f>
        <v>1527523</v>
      </c>
    </row>
    <row r="401" customFormat="false" ht="15" hidden="false" customHeight="false" outlineLevel="0" collapsed="false">
      <c r="A401" s="37" t="str">
        <f aca="false">'Assumptions &amp; Data'!A535</f>
        <v>SM0331</v>
      </c>
      <c r="B401" s="37" t="str">
        <f aca="false">'Assumptions &amp; Data'!B535</f>
        <v>DS028</v>
      </c>
      <c r="C401" s="38" t="n">
        <f aca="false">'Assumptions &amp; Data'!C535</f>
        <v>46113</v>
      </c>
      <c r="D401" s="39" t="str">
        <f aca="false">INDEX('Assumptions &amp; Data'!$B$142:$B$201,MATCH(B401,'Assumptions &amp; Data'!$A$142:$A$201,0))</f>
        <v>Bengaluru</v>
      </c>
      <c r="E401" s="37" t="n">
        <f aca="false">'Assumptions &amp; Data'!D535</f>
        <v>30695</v>
      </c>
      <c r="F401" s="39" t="n">
        <f aca="false">E401*'Assumptions &amp; Data'!E535</f>
        <v>21833353.5</v>
      </c>
      <c r="G401" s="39" t="n">
        <f aca="false">F401*'Assumptions &amp; Data'!F535</f>
        <v>1227034.4667</v>
      </c>
      <c r="H401" s="39" t="n">
        <f aca="false">F401-G401</f>
        <v>20606319.0333</v>
      </c>
      <c r="I401" s="39" t="n">
        <f aca="false">H401*'Assumptions &amp; Data'!G535</f>
        <v>3486589.18043436</v>
      </c>
      <c r="J401" s="39" t="n">
        <f aca="false">E401*'Assumptions &amp; Data'!H535</f>
        <v>379083.25</v>
      </c>
      <c r="K401" s="39" t="n">
        <f aca="false">H401*'Assumptions &amp; Data'!I535</f>
        <v>607886.41148235</v>
      </c>
      <c r="L401" s="39" t="n">
        <f aca="false">H401*'Assumptions &amp; Data'!J535</f>
        <v>377095.63830939</v>
      </c>
      <c r="M401" s="39" t="n">
        <f aca="false">I401+J401+K401-L401</f>
        <v>4096463.20360732</v>
      </c>
      <c r="N401" s="39" t="n">
        <f aca="false">E401*'Assumptions &amp; Data'!N535</f>
        <v>1203244</v>
      </c>
      <c r="O401" s="39" t="n">
        <f aca="false">E401*'Assumptions &amp; Data'!O535</f>
        <v>338872.8</v>
      </c>
      <c r="P401" s="39" t="n">
        <f aca="false">H401*'Assumptions &amp; Data'!P535</f>
        <v>210184.45413966</v>
      </c>
      <c r="Q401" s="39" t="n">
        <f aca="false">M401-N401-O401-P401</f>
        <v>2344161.94946766</v>
      </c>
      <c r="R401" s="39" t="n">
        <f aca="false">'Assumptions &amp; Data'!L535*'Assumptions &amp; Data'!M535</f>
        <v>597240</v>
      </c>
      <c r="S401" s="37" t="n">
        <f aca="false">'Assumptions &amp; Data'!Q535</f>
        <v>549500</v>
      </c>
      <c r="T401" s="37" t="n">
        <f aca="false">'Assumptions &amp; Data'!R535</f>
        <v>157917</v>
      </c>
      <c r="U401" s="37" t="n">
        <f aca="false">'Assumptions &amp; Data'!S535</f>
        <v>181884</v>
      </c>
      <c r="V401" s="39" t="n">
        <f aca="false">Q401-R401-S401-T401-U401</f>
        <v>857620.94946766</v>
      </c>
      <c r="W401" s="39" t="n">
        <f aca="false">DAY(EOMONTH(C401,0))</f>
        <v>30</v>
      </c>
      <c r="X401" s="40" t="n">
        <f aca="false">E401/W401</f>
        <v>1023.16666666667</v>
      </c>
      <c r="Y401" s="39" t="n">
        <f aca="false">R401+S401+T401+U401</f>
        <v>1486541</v>
      </c>
    </row>
    <row r="402" customFormat="false" ht="15" hidden="false" customHeight="false" outlineLevel="0" collapsed="false">
      <c r="A402" s="37" t="str">
        <f aca="false">'Assumptions &amp; Data'!A536</f>
        <v>SM0332</v>
      </c>
      <c r="B402" s="37" t="str">
        <f aca="false">'Assumptions &amp; Data'!B536</f>
        <v>DS028</v>
      </c>
      <c r="C402" s="38" t="n">
        <f aca="false">'Assumptions &amp; Data'!C536</f>
        <v>46143</v>
      </c>
      <c r="D402" s="39" t="str">
        <f aca="false">INDEX('Assumptions &amp; Data'!$B$142:$B$201,MATCH(B402,'Assumptions &amp; Data'!$A$142:$A$201,0))</f>
        <v>Bengaluru</v>
      </c>
      <c r="E402" s="37" t="n">
        <f aca="false">'Assumptions &amp; Data'!D536</f>
        <v>32525</v>
      </c>
      <c r="F402" s="39" t="n">
        <f aca="false">E402*'Assumptions &amp; Data'!E536</f>
        <v>22705702.5</v>
      </c>
      <c r="G402" s="39" t="n">
        <f aca="false">F402*'Assumptions &amp; Data'!F536</f>
        <v>1239731.3565</v>
      </c>
      <c r="H402" s="39" t="n">
        <f aca="false">F402-G402</f>
        <v>21465971.1435</v>
      </c>
      <c r="I402" s="39" t="n">
        <f aca="false">H402*'Assumptions &amp; Data'!G536</f>
        <v>3544031.83579185</v>
      </c>
      <c r="J402" s="39" t="n">
        <f aca="false">E402*'Assumptions &amp; Data'!H536</f>
        <v>409489.75</v>
      </c>
      <c r="K402" s="39" t="n">
        <f aca="false">H402*'Assumptions &amp; Data'!I536</f>
        <v>609633.5804754</v>
      </c>
      <c r="L402" s="39" t="n">
        <f aca="false">H402*'Assumptions &amp; Data'!J536</f>
        <v>416439.8401839</v>
      </c>
      <c r="M402" s="39" t="n">
        <f aca="false">I402+J402+K402-L402</f>
        <v>4146715.32608335</v>
      </c>
      <c r="N402" s="39" t="n">
        <f aca="false">E402*'Assumptions &amp; Data'!N536</f>
        <v>1295145.5</v>
      </c>
      <c r="O402" s="39" t="n">
        <f aca="false">E402*'Assumptions &amp; Data'!O536</f>
        <v>348993.25</v>
      </c>
      <c r="P402" s="39" t="n">
        <f aca="false">H402*'Assumptions &amp; Data'!P536</f>
        <v>221099.50277805</v>
      </c>
      <c r="Q402" s="39" t="n">
        <f aca="false">M402-N402-O402-P402</f>
        <v>2281477.0733053</v>
      </c>
      <c r="R402" s="39" t="n">
        <f aca="false">'Assumptions &amp; Data'!L536*'Assumptions &amp; Data'!M536</f>
        <v>664200</v>
      </c>
      <c r="S402" s="37" t="n">
        <f aca="false">'Assumptions &amp; Data'!Q536</f>
        <v>549500</v>
      </c>
      <c r="T402" s="37" t="n">
        <f aca="false">'Assumptions &amp; Data'!R536</f>
        <v>152866</v>
      </c>
      <c r="U402" s="37" t="n">
        <f aca="false">'Assumptions &amp; Data'!S536</f>
        <v>164053</v>
      </c>
      <c r="V402" s="39" t="n">
        <f aca="false">Q402-R402-S402-T402-U402</f>
        <v>750858.0733053</v>
      </c>
      <c r="W402" s="39" t="n">
        <f aca="false">DAY(EOMONTH(C402,0))</f>
        <v>31</v>
      </c>
      <c r="X402" s="40" t="n">
        <f aca="false">E402/W402</f>
        <v>1049.1935483871</v>
      </c>
      <c r="Y402" s="39" t="n">
        <f aca="false">R402+S402+T402+U402</f>
        <v>1530619</v>
      </c>
    </row>
    <row r="403" customFormat="false" ht="15" hidden="false" customHeight="false" outlineLevel="0" collapsed="false">
      <c r="A403" s="37" t="str">
        <f aca="false">'Assumptions &amp; Data'!A537</f>
        <v>SM0333</v>
      </c>
      <c r="B403" s="37" t="str">
        <f aca="false">'Assumptions &amp; Data'!B537</f>
        <v>DS028</v>
      </c>
      <c r="C403" s="38" t="n">
        <f aca="false">'Assumptions &amp; Data'!C537</f>
        <v>46174</v>
      </c>
      <c r="D403" s="39" t="str">
        <f aca="false">INDEX('Assumptions &amp; Data'!$B$142:$B$201,MATCH(B403,'Assumptions &amp; Data'!$A$142:$A$201,0))</f>
        <v>Bengaluru</v>
      </c>
      <c r="E403" s="37" t="n">
        <f aca="false">'Assumptions &amp; Data'!D537</f>
        <v>31280</v>
      </c>
      <c r="F403" s="39" t="n">
        <f aca="false">E403*'Assumptions &amp; Data'!E537</f>
        <v>21307936</v>
      </c>
      <c r="G403" s="39" t="n">
        <f aca="false">F403*'Assumptions &amp; Data'!F537</f>
        <v>1090966.3232</v>
      </c>
      <c r="H403" s="39" t="n">
        <f aca="false">F403-G403</f>
        <v>20216969.6768</v>
      </c>
      <c r="I403" s="39" t="n">
        <f aca="false">H403*'Assumptions &amp; Data'!G537</f>
        <v>3358038.66331648</v>
      </c>
      <c r="J403" s="39" t="n">
        <f aca="false">E403*'Assumptions &amp; Data'!H537</f>
        <v>388497.6</v>
      </c>
      <c r="K403" s="39" t="n">
        <f aca="false">H403*'Assumptions &amp; Data'!I537</f>
        <v>578205.33275648</v>
      </c>
      <c r="L403" s="39" t="n">
        <f aca="false">H403*'Assumptions &amp; Data'!J537</f>
        <v>384122.4238592</v>
      </c>
      <c r="M403" s="39" t="n">
        <f aca="false">I403+J403+K403-L403</f>
        <v>3940619.17221376</v>
      </c>
      <c r="N403" s="39" t="n">
        <f aca="false">E403*'Assumptions &amp; Data'!N537</f>
        <v>1223360.8</v>
      </c>
      <c r="O403" s="39" t="n">
        <f aca="false">E403*'Assumptions &amp; Data'!O537</f>
        <v>325937.6</v>
      </c>
      <c r="P403" s="39" t="n">
        <f aca="false">H403*'Assumptions &amp; Data'!P537</f>
        <v>202169.696768</v>
      </c>
      <c r="Q403" s="39" t="n">
        <f aca="false">M403-N403-O403-P403</f>
        <v>2189151.07544576</v>
      </c>
      <c r="R403" s="39" t="n">
        <f aca="false">'Assumptions &amp; Data'!L537*'Assumptions &amp; Data'!M537</f>
        <v>642640</v>
      </c>
      <c r="S403" s="37" t="n">
        <f aca="false">'Assumptions &amp; Data'!Q537</f>
        <v>549500</v>
      </c>
      <c r="T403" s="37" t="n">
        <f aca="false">'Assumptions &amp; Data'!R537</f>
        <v>146273</v>
      </c>
      <c r="U403" s="37" t="n">
        <f aca="false">'Assumptions &amp; Data'!S537</f>
        <v>194209</v>
      </c>
      <c r="V403" s="39" t="n">
        <f aca="false">Q403-R403-S403-T403-U403</f>
        <v>656529.07544576</v>
      </c>
      <c r="W403" s="39" t="n">
        <f aca="false">DAY(EOMONTH(C403,0))</f>
        <v>30</v>
      </c>
      <c r="X403" s="40" t="n">
        <f aca="false">E403/W403</f>
        <v>1042.66666666667</v>
      </c>
      <c r="Y403" s="39" t="n">
        <f aca="false">R403+S403+T403+U403</f>
        <v>1532622</v>
      </c>
    </row>
    <row r="404" customFormat="false" ht="15" hidden="false" customHeight="false" outlineLevel="0" collapsed="false">
      <c r="A404" s="37" t="str">
        <f aca="false">'Assumptions &amp; Data'!A538</f>
        <v>SM0334</v>
      </c>
      <c r="B404" s="37" t="str">
        <f aca="false">'Assumptions &amp; Data'!B538</f>
        <v>DS028</v>
      </c>
      <c r="C404" s="38" t="n">
        <f aca="false">'Assumptions &amp; Data'!C538</f>
        <v>46204</v>
      </c>
      <c r="D404" s="39" t="str">
        <f aca="false">INDEX('Assumptions &amp; Data'!$B$142:$B$201,MATCH(B404,'Assumptions &amp; Data'!$A$142:$A$201,0))</f>
        <v>Bengaluru</v>
      </c>
      <c r="E404" s="37" t="n">
        <f aca="false">'Assumptions &amp; Data'!D538</f>
        <v>33990</v>
      </c>
      <c r="F404" s="39" t="n">
        <f aca="false">E404*'Assumptions &amp; Data'!E538</f>
        <v>23245761</v>
      </c>
      <c r="G404" s="39" t="n">
        <f aca="false">F404*'Assumptions &amp; Data'!F538</f>
        <v>1099524.4953</v>
      </c>
      <c r="H404" s="39" t="n">
        <f aca="false">F404-G404</f>
        <v>22146236.5047</v>
      </c>
      <c r="I404" s="39" t="n">
        <f aca="false">H404*'Assumptions &amp; Data'!G538</f>
        <v>3716138.48548866</v>
      </c>
      <c r="J404" s="39" t="n">
        <f aca="false">E404*'Assumptions &amp; Data'!H538</f>
        <v>410599.2</v>
      </c>
      <c r="K404" s="39" t="n">
        <f aca="false">H404*'Assumptions &amp; Data'!I538</f>
        <v>673245.58974288</v>
      </c>
      <c r="L404" s="39" t="n">
        <f aca="false">H404*'Assumptions &amp; Data'!J538</f>
        <v>422993.11723977</v>
      </c>
      <c r="M404" s="39" t="n">
        <f aca="false">I404+J404+K404-L404</f>
        <v>4376990.15799177</v>
      </c>
      <c r="N404" s="39" t="n">
        <f aca="false">E404*'Assumptions &amp; Data'!N538</f>
        <v>1341925.2</v>
      </c>
      <c r="O404" s="39" t="n">
        <f aca="false">E404*'Assumptions &amp; Data'!O538</f>
        <v>349077.3</v>
      </c>
      <c r="P404" s="39" t="n">
        <f aca="false">H404*'Assumptions &amp; Data'!P538</f>
        <v>219247.74139653</v>
      </c>
      <c r="Q404" s="39" t="n">
        <f aca="false">M404-N404-O404-P404</f>
        <v>2466739.91659524</v>
      </c>
      <c r="R404" s="39" t="n">
        <f aca="false">'Assumptions &amp; Data'!L538*'Assumptions &amp; Data'!M538</f>
        <v>665400</v>
      </c>
      <c r="S404" s="37" t="n">
        <f aca="false">'Assumptions &amp; Data'!Q538</f>
        <v>549500</v>
      </c>
      <c r="T404" s="37" t="n">
        <f aca="false">'Assumptions &amp; Data'!R538</f>
        <v>148873</v>
      </c>
      <c r="U404" s="37" t="n">
        <f aca="false">'Assumptions &amp; Data'!S538</f>
        <v>188556</v>
      </c>
      <c r="V404" s="39" t="n">
        <f aca="false">Q404-R404-S404-T404-U404</f>
        <v>914410.916595241</v>
      </c>
      <c r="W404" s="39" t="n">
        <f aca="false">DAY(EOMONTH(C404,0))</f>
        <v>31</v>
      </c>
      <c r="X404" s="40" t="n">
        <f aca="false">E404/W404</f>
        <v>1096.45161290323</v>
      </c>
      <c r="Y404" s="39" t="n">
        <f aca="false">R404+S404+T404+U404</f>
        <v>1552329</v>
      </c>
    </row>
    <row r="405" customFormat="false" ht="15" hidden="false" customHeight="false" outlineLevel="0" collapsed="false">
      <c r="A405" s="37" t="str">
        <f aca="false">'Assumptions &amp; Data'!A539</f>
        <v>SM0335</v>
      </c>
      <c r="B405" s="37" t="str">
        <f aca="false">'Assumptions &amp; Data'!B539</f>
        <v>DS028</v>
      </c>
      <c r="C405" s="38" t="n">
        <f aca="false">'Assumptions &amp; Data'!C539</f>
        <v>46235</v>
      </c>
      <c r="D405" s="39" t="str">
        <f aca="false">INDEX('Assumptions &amp; Data'!$B$142:$B$201,MATCH(B405,'Assumptions &amp; Data'!$A$142:$A$201,0))</f>
        <v>Bengaluru</v>
      </c>
      <c r="E405" s="37" t="n">
        <f aca="false">'Assumptions &amp; Data'!D539</f>
        <v>32551</v>
      </c>
      <c r="F405" s="39" t="n">
        <f aca="false">E405*'Assumptions &amp; Data'!E539</f>
        <v>22310455.4</v>
      </c>
      <c r="G405" s="39" t="n">
        <f aca="false">F405*'Assumptions &amp; Data'!F539</f>
        <v>1133371.13432</v>
      </c>
      <c r="H405" s="39" t="n">
        <f aca="false">F405-G405</f>
        <v>21177084.26568</v>
      </c>
      <c r="I405" s="39" t="n">
        <f aca="false">H405*'Assumptions &amp; Data'!G539</f>
        <v>3608575.15887187</v>
      </c>
      <c r="J405" s="39" t="n">
        <f aca="false">E405*'Assumptions &amp; Data'!H539</f>
        <v>408840.56</v>
      </c>
      <c r="K405" s="39" t="n">
        <f aca="false">H405*'Assumptions &amp; Data'!I539</f>
        <v>595076.067865608</v>
      </c>
      <c r="L405" s="39" t="n">
        <f aca="false">H405*'Assumptions &amp; Data'!J539</f>
        <v>406600.017901056</v>
      </c>
      <c r="M405" s="39" t="n">
        <f aca="false">I405+J405+K405-L405</f>
        <v>4205891.76883642</v>
      </c>
      <c r="N405" s="39" t="n">
        <f aca="false">E405*'Assumptions &amp; Data'!N539</f>
        <v>1310177.75</v>
      </c>
      <c r="O405" s="39" t="n">
        <f aca="false">E405*'Assumptions &amp; Data'!O539</f>
        <v>350899.78</v>
      </c>
      <c r="P405" s="39" t="n">
        <f aca="false">H405*'Assumptions &amp; Data'!P539</f>
        <v>211770.8426568</v>
      </c>
      <c r="Q405" s="39" t="n">
        <f aca="false">M405-N405-O405-P405</f>
        <v>2333043.39617962</v>
      </c>
      <c r="R405" s="39" t="n">
        <f aca="false">'Assumptions &amp; Data'!L539*'Assumptions &amp; Data'!M539</f>
        <v>621600</v>
      </c>
      <c r="S405" s="37" t="n">
        <f aca="false">'Assumptions &amp; Data'!Q539</f>
        <v>549500</v>
      </c>
      <c r="T405" s="37" t="n">
        <f aca="false">'Assumptions &amp; Data'!R539</f>
        <v>143178</v>
      </c>
      <c r="U405" s="37" t="n">
        <f aca="false">'Assumptions &amp; Data'!S539</f>
        <v>177900</v>
      </c>
      <c r="V405" s="39" t="n">
        <f aca="false">Q405-R405-S405-T405-U405</f>
        <v>840865.396179624</v>
      </c>
      <c r="W405" s="39" t="n">
        <f aca="false">DAY(EOMONTH(C405,0))</f>
        <v>31</v>
      </c>
      <c r="X405" s="40" t="n">
        <f aca="false">E405/W405</f>
        <v>1050.03225806452</v>
      </c>
      <c r="Y405" s="39" t="n">
        <f aca="false">R405+S405+T405+U405</f>
        <v>1492178</v>
      </c>
    </row>
    <row r="406" customFormat="false" ht="15" hidden="false" customHeight="false" outlineLevel="0" collapsed="false">
      <c r="A406" s="37" t="str">
        <f aca="false">'Assumptions &amp; Data'!A540</f>
        <v>SM0336</v>
      </c>
      <c r="B406" s="37" t="str">
        <f aca="false">'Assumptions &amp; Data'!B540</f>
        <v>DS028</v>
      </c>
      <c r="C406" s="38" t="n">
        <f aca="false">'Assumptions &amp; Data'!C540</f>
        <v>46266</v>
      </c>
      <c r="D406" s="39" t="str">
        <f aca="false">INDEX('Assumptions &amp; Data'!$B$142:$B$201,MATCH(B406,'Assumptions &amp; Data'!$A$142:$A$201,0))</f>
        <v>Bengaluru</v>
      </c>
      <c r="E406" s="37" t="n">
        <f aca="false">'Assumptions &amp; Data'!D540</f>
        <v>31110</v>
      </c>
      <c r="F406" s="39" t="n">
        <f aca="false">E406*'Assumptions &amp; Data'!E540</f>
        <v>21932550</v>
      </c>
      <c r="G406" s="39" t="n">
        <f aca="false">F406*'Assumptions &amp; Data'!F540</f>
        <v>1204096.995</v>
      </c>
      <c r="H406" s="39" t="n">
        <f aca="false">F406-G406</f>
        <v>20728453.005</v>
      </c>
      <c r="I406" s="39" t="n">
        <f aca="false">H406*'Assumptions &amp; Data'!G540</f>
        <v>3467870.1877365</v>
      </c>
      <c r="J406" s="39" t="n">
        <f aca="false">E406*'Assumptions &amp; Data'!H540</f>
        <v>391674.9</v>
      </c>
      <c r="K406" s="39" t="n">
        <f aca="false">H406*'Assumptions &amp; Data'!I540</f>
        <v>599052.2918445</v>
      </c>
      <c r="L406" s="39" t="n">
        <f aca="false">H406*'Assumptions &amp; Data'!J540</f>
        <v>397986.297696</v>
      </c>
      <c r="M406" s="39" t="n">
        <f aca="false">I406+J406+K406-L406</f>
        <v>4060611.081885</v>
      </c>
      <c r="N406" s="39" t="n">
        <f aca="false">E406*'Assumptions &amp; Data'!N540</f>
        <v>1242844.5</v>
      </c>
      <c r="O406" s="39" t="n">
        <f aca="false">E406*'Assumptions &amp; Data'!O540</f>
        <v>329143.8</v>
      </c>
      <c r="P406" s="39" t="n">
        <f aca="false">H406*'Assumptions &amp; Data'!P540</f>
        <v>217648.7565525</v>
      </c>
      <c r="Q406" s="39" t="n">
        <f aca="false">M406-N406-O406-P406</f>
        <v>2270974.0253325</v>
      </c>
      <c r="R406" s="39" t="n">
        <f aca="false">'Assumptions &amp; Data'!L540*'Assumptions &amp; Data'!M540</f>
        <v>622160</v>
      </c>
      <c r="S406" s="37" t="n">
        <f aca="false">'Assumptions &amp; Data'!Q540</f>
        <v>549500</v>
      </c>
      <c r="T406" s="37" t="n">
        <f aca="false">'Assumptions &amp; Data'!R540</f>
        <v>156974</v>
      </c>
      <c r="U406" s="37" t="n">
        <f aca="false">'Assumptions &amp; Data'!S540</f>
        <v>162244</v>
      </c>
      <c r="V406" s="39" t="n">
        <f aca="false">Q406-R406-S406-T406-U406</f>
        <v>780096.0253325</v>
      </c>
      <c r="W406" s="39" t="n">
        <f aca="false">DAY(EOMONTH(C406,0))</f>
        <v>30</v>
      </c>
      <c r="X406" s="40" t="n">
        <f aca="false">E406/W406</f>
        <v>1037</v>
      </c>
      <c r="Y406" s="39" t="n">
        <f aca="false">R406+S406+T406+U406</f>
        <v>1490878</v>
      </c>
    </row>
    <row r="407" customFormat="false" ht="15" hidden="false" customHeight="false" outlineLevel="0" collapsed="false">
      <c r="A407" s="37" t="str">
        <f aca="false">'Assumptions &amp; Data'!A541</f>
        <v>SM0337</v>
      </c>
      <c r="B407" s="37" t="str">
        <f aca="false">'Assumptions &amp; Data'!B541</f>
        <v>DS029</v>
      </c>
      <c r="C407" s="38" t="n">
        <f aca="false">'Assumptions &amp; Data'!C541</f>
        <v>45931</v>
      </c>
      <c r="D407" s="39" t="str">
        <f aca="false">INDEX('Assumptions &amp; Data'!$B$142:$B$201,MATCH(B407,'Assumptions &amp; Data'!$A$142:$A$201,0))</f>
        <v>Bengaluru</v>
      </c>
      <c r="E407" s="37" t="n">
        <f aca="false">'Assumptions &amp; Data'!D541</f>
        <v>8336</v>
      </c>
      <c r="F407" s="39" t="n">
        <f aca="false">E407*'Assumptions &amp; Data'!E541</f>
        <v>5385889.6</v>
      </c>
      <c r="G407" s="39" t="n">
        <f aca="false">F407*'Assumptions &amp; Data'!F541</f>
        <v>371087.79344</v>
      </c>
      <c r="H407" s="39" t="n">
        <f aca="false">F407-G407</f>
        <v>5014801.80656</v>
      </c>
      <c r="I407" s="39" t="n">
        <f aca="false">H407*'Assumptions &amp; Data'!G541</f>
        <v>809890.49175944</v>
      </c>
      <c r="J407" s="39" t="n">
        <f aca="false">E407*'Assumptions &amp; Data'!H541</f>
        <v>96780.96</v>
      </c>
      <c r="K407" s="39" t="n">
        <f aca="false">H407*'Assumptions &amp; Data'!I541</f>
        <v>103304.917215136</v>
      </c>
      <c r="L407" s="39" t="n">
        <f aca="false">H407*'Assumptions &amp; Data'!J541</f>
        <v>221654.239849952</v>
      </c>
      <c r="M407" s="39" t="n">
        <f aca="false">I407+J407+K407-L407</f>
        <v>788322.129124624</v>
      </c>
      <c r="N407" s="39" t="n">
        <f aca="false">E407*'Assumptions &amp; Data'!N541</f>
        <v>386040.16</v>
      </c>
      <c r="O407" s="39" t="n">
        <f aca="false">E407*'Assumptions &amp; Data'!O541</f>
        <v>87444.64</v>
      </c>
      <c r="P407" s="39" t="n">
        <f aca="false">H407*'Assumptions &amp; Data'!P541</f>
        <v>50148.0180656</v>
      </c>
      <c r="Q407" s="39" t="n">
        <f aca="false">M407-N407-O407-P407</f>
        <v>264689.311059024</v>
      </c>
      <c r="R407" s="39" t="n">
        <f aca="false">'Assumptions &amp; Data'!L541*'Assumptions &amp; Data'!M541</f>
        <v>352000</v>
      </c>
      <c r="S407" s="37" t="n">
        <f aca="false">'Assumptions &amp; Data'!Q541</f>
        <v>436500</v>
      </c>
      <c r="T407" s="37" t="n">
        <f aca="false">'Assumptions &amp; Data'!R541</f>
        <v>184783</v>
      </c>
      <c r="U407" s="37" t="n">
        <f aca="false">'Assumptions &amp; Data'!S541</f>
        <v>128107</v>
      </c>
      <c r="V407" s="39" t="n">
        <f aca="false">Q407-R407-S407-T407-U407</f>
        <v>-836700.688940976</v>
      </c>
      <c r="W407" s="39" t="n">
        <f aca="false">DAY(EOMONTH(C407,0))</f>
        <v>31</v>
      </c>
      <c r="X407" s="40" t="n">
        <f aca="false">E407/W407</f>
        <v>268.903225806452</v>
      </c>
      <c r="Y407" s="39" t="n">
        <f aca="false">R407+S407+T407+U407</f>
        <v>1101390</v>
      </c>
    </row>
    <row r="408" customFormat="false" ht="15" hidden="false" customHeight="false" outlineLevel="0" collapsed="false">
      <c r="A408" s="37" t="str">
        <f aca="false">'Assumptions &amp; Data'!A542</f>
        <v>SM0338</v>
      </c>
      <c r="B408" s="37" t="str">
        <f aca="false">'Assumptions &amp; Data'!B542</f>
        <v>DS029</v>
      </c>
      <c r="C408" s="38" t="n">
        <f aca="false">'Assumptions &amp; Data'!C542</f>
        <v>45962</v>
      </c>
      <c r="D408" s="39" t="str">
        <f aca="false">INDEX('Assumptions &amp; Data'!$B$142:$B$201,MATCH(B408,'Assumptions &amp; Data'!$A$142:$A$201,0))</f>
        <v>Bengaluru</v>
      </c>
      <c r="E408" s="37" t="n">
        <f aca="false">'Assumptions &amp; Data'!D542</f>
        <v>9333</v>
      </c>
      <c r="F408" s="39" t="n">
        <f aca="false">E408*'Assumptions &amp; Data'!E542</f>
        <v>6250310.1</v>
      </c>
      <c r="G408" s="39" t="n">
        <f aca="false">F408*'Assumptions &amp; Data'!F542</f>
        <v>402519.97044</v>
      </c>
      <c r="H408" s="39" t="n">
        <f aca="false">F408-G408</f>
        <v>5847790.12956</v>
      </c>
      <c r="I408" s="39" t="n">
        <f aca="false">H408*'Assumptions &amp; Data'!G542</f>
        <v>968978.824468092</v>
      </c>
      <c r="J408" s="39" t="n">
        <f aca="false">E408*'Assumptions &amp; Data'!H542</f>
        <v>103969.62</v>
      </c>
      <c r="K408" s="39" t="n">
        <f aca="false">H408*'Assumptions &amp; Data'!I542</f>
        <v>115201.465552332</v>
      </c>
      <c r="L408" s="39" t="n">
        <f aca="false">H408*'Assumptions &amp; Data'!J542</f>
        <v>240928.953337872</v>
      </c>
      <c r="M408" s="39" t="n">
        <f aca="false">I408+J408+K408-L408</f>
        <v>947220.956682552</v>
      </c>
      <c r="N408" s="39" t="n">
        <f aca="false">E408*'Assumptions &amp; Data'!N542</f>
        <v>434917.8</v>
      </c>
      <c r="O408" s="39" t="n">
        <f aca="false">E408*'Assumptions &amp; Data'!O542</f>
        <v>101543.04</v>
      </c>
      <c r="P408" s="39" t="n">
        <f aca="false">H408*'Assumptions &amp; Data'!P542</f>
        <v>57308.343269688</v>
      </c>
      <c r="Q408" s="39" t="n">
        <f aca="false">M408-N408-O408-P408</f>
        <v>353451.773412864</v>
      </c>
      <c r="R408" s="39" t="n">
        <f aca="false">'Assumptions &amp; Data'!L542*'Assumptions &amp; Data'!M542</f>
        <v>352320</v>
      </c>
      <c r="S408" s="37" t="n">
        <f aca="false">'Assumptions &amp; Data'!Q542</f>
        <v>436500</v>
      </c>
      <c r="T408" s="37" t="n">
        <f aca="false">'Assumptions &amp; Data'!R542</f>
        <v>172865</v>
      </c>
      <c r="U408" s="37" t="n">
        <f aca="false">'Assumptions &amp; Data'!S542</f>
        <v>133481</v>
      </c>
      <c r="V408" s="39" t="n">
        <f aca="false">Q408-R408-S408-T408-U408</f>
        <v>-741714.226587136</v>
      </c>
      <c r="W408" s="39" t="n">
        <f aca="false">DAY(EOMONTH(C408,0))</f>
        <v>30</v>
      </c>
      <c r="X408" s="40" t="n">
        <f aca="false">E408/W408</f>
        <v>311.1</v>
      </c>
      <c r="Y408" s="39" t="n">
        <f aca="false">R408+S408+T408+U408</f>
        <v>1095166</v>
      </c>
    </row>
    <row r="409" customFormat="false" ht="15" hidden="false" customHeight="false" outlineLevel="0" collapsed="false">
      <c r="A409" s="37" t="str">
        <f aca="false">'Assumptions &amp; Data'!A543</f>
        <v>SM0339</v>
      </c>
      <c r="B409" s="37" t="str">
        <f aca="false">'Assumptions &amp; Data'!B543</f>
        <v>DS029</v>
      </c>
      <c r="C409" s="38" t="n">
        <f aca="false">'Assumptions &amp; Data'!C543</f>
        <v>45992</v>
      </c>
      <c r="D409" s="39" t="str">
        <f aca="false">INDEX('Assumptions &amp; Data'!$B$142:$B$201,MATCH(B409,'Assumptions &amp; Data'!$A$142:$A$201,0))</f>
        <v>Bengaluru</v>
      </c>
      <c r="E409" s="37" t="n">
        <f aca="false">'Assumptions &amp; Data'!D543</f>
        <v>11791</v>
      </c>
      <c r="F409" s="39" t="n">
        <f aca="false">E409*'Assumptions &amp; Data'!E543</f>
        <v>7889358.1</v>
      </c>
      <c r="G409" s="39" t="n">
        <f aca="false">F409*'Assumptions &amp; Data'!F543</f>
        <v>498607.43192</v>
      </c>
      <c r="H409" s="39" t="n">
        <f aca="false">F409-G409</f>
        <v>7390750.66808</v>
      </c>
      <c r="I409" s="39" t="n">
        <f aca="false">H409*'Assumptions &amp; Data'!G543</f>
        <v>1226864.61090128</v>
      </c>
      <c r="J409" s="39" t="n">
        <f aca="false">E409*'Assumptions &amp; Data'!H543</f>
        <v>135006.95</v>
      </c>
      <c r="K409" s="39" t="n">
        <f aca="false">H409*'Assumptions &amp; Data'!I543</f>
        <v>146336.863227984</v>
      </c>
      <c r="L409" s="39" t="n">
        <f aca="false">H409*'Assumptions &amp; Data'!J543</f>
        <v>301542.627257664</v>
      </c>
      <c r="M409" s="39" t="n">
        <f aca="false">I409+J409+K409-L409</f>
        <v>1206665.7968716</v>
      </c>
      <c r="N409" s="39" t="n">
        <f aca="false">E409*'Assumptions &amp; Data'!N543</f>
        <v>540027.8</v>
      </c>
      <c r="O409" s="39" t="n">
        <f aca="false">E409*'Assumptions &amp; Data'!O543</f>
        <v>127578.62</v>
      </c>
      <c r="P409" s="39" t="n">
        <f aca="false">H409*'Assumptions &amp; Data'!P543</f>
        <v>76124.731881224</v>
      </c>
      <c r="Q409" s="39" t="n">
        <f aca="false">M409-N409-O409-P409</f>
        <v>462934.644990376</v>
      </c>
      <c r="R409" s="39" t="n">
        <f aca="false">'Assumptions &amp; Data'!L543*'Assumptions &amp; Data'!M543</f>
        <v>352640</v>
      </c>
      <c r="S409" s="37" t="n">
        <f aca="false">'Assumptions &amp; Data'!Q543</f>
        <v>436500</v>
      </c>
      <c r="T409" s="37" t="n">
        <f aca="false">'Assumptions &amp; Data'!R543</f>
        <v>166387</v>
      </c>
      <c r="U409" s="37" t="n">
        <f aca="false">'Assumptions &amp; Data'!S543</f>
        <v>157786</v>
      </c>
      <c r="V409" s="39" t="n">
        <f aca="false">Q409-R409-S409-T409-U409</f>
        <v>-650378.355009624</v>
      </c>
      <c r="W409" s="39" t="n">
        <f aca="false">DAY(EOMONTH(C409,0))</f>
        <v>31</v>
      </c>
      <c r="X409" s="40" t="n">
        <f aca="false">E409/W409</f>
        <v>380.354838709677</v>
      </c>
      <c r="Y409" s="39" t="n">
        <f aca="false">R409+S409+T409+U409</f>
        <v>1113313</v>
      </c>
    </row>
    <row r="410" customFormat="false" ht="15" hidden="false" customHeight="false" outlineLevel="0" collapsed="false">
      <c r="A410" s="37" t="str">
        <f aca="false">'Assumptions &amp; Data'!A544</f>
        <v>SM0340</v>
      </c>
      <c r="B410" s="37" t="str">
        <f aca="false">'Assumptions &amp; Data'!B544</f>
        <v>DS029</v>
      </c>
      <c r="C410" s="38" t="n">
        <f aca="false">'Assumptions &amp; Data'!C544</f>
        <v>46023</v>
      </c>
      <c r="D410" s="39" t="str">
        <f aca="false">INDEX('Assumptions &amp; Data'!$B$142:$B$201,MATCH(B410,'Assumptions &amp; Data'!$A$142:$A$201,0))</f>
        <v>Bengaluru</v>
      </c>
      <c r="E410" s="37" t="n">
        <f aca="false">'Assumptions &amp; Data'!D544</f>
        <v>12674</v>
      </c>
      <c r="F410" s="39" t="n">
        <f aca="false">E410*'Assumptions &amp; Data'!E544</f>
        <v>8519462.8</v>
      </c>
      <c r="G410" s="39" t="n">
        <f aca="false">F410*'Assumptions &amp; Data'!F544</f>
        <v>513723.60684</v>
      </c>
      <c r="H410" s="39" t="n">
        <f aca="false">F410-G410</f>
        <v>8005739.19316</v>
      </c>
      <c r="I410" s="39" t="n">
        <f aca="false">H410*'Assumptions &amp; Data'!G544</f>
        <v>1297730.32321124</v>
      </c>
      <c r="J410" s="39" t="n">
        <f aca="false">E410*'Assumptions &amp; Data'!H544</f>
        <v>145497.52</v>
      </c>
      <c r="K410" s="39" t="n">
        <f aca="false">H410*'Assumptions &amp; Data'!I544</f>
        <v>157713.062105252</v>
      </c>
      <c r="L410" s="39" t="n">
        <f aca="false">H410*'Assumptions &amp; Data'!J544</f>
        <v>316226.69812982</v>
      </c>
      <c r="M410" s="39" t="n">
        <f aca="false">I410+J410+K410-L410</f>
        <v>1284714.20718667</v>
      </c>
      <c r="N410" s="39" t="n">
        <f aca="false">E410*'Assumptions &amp; Data'!N544</f>
        <v>573625.24</v>
      </c>
      <c r="O410" s="39" t="n">
        <f aca="false">E410*'Assumptions &amp; Data'!O544</f>
        <v>132316.56</v>
      </c>
      <c r="P410" s="39" t="n">
        <f aca="false">H410*'Assumptions &amp; Data'!P544</f>
        <v>78456.244092968</v>
      </c>
      <c r="Q410" s="39" t="n">
        <f aca="false">M410-N410-O410-P410</f>
        <v>500316.1630937</v>
      </c>
      <c r="R410" s="39" t="n">
        <f aca="false">'Assumptions &amp; Data'!L544*'Assumptions &amp; Data'!M544</f>
        <v>352960</v>
      </c>
      <c r="S410" s="37" t="n">
        <f aca="false">'Assumptions &amp; Data'!Q544</f>
        <v>436500</v>
      </c>
      <c r="T410" s="37" t="n">
        <f aca="false">'Assumptions &amp; Data'!R544</f>
        <v>171040</v>
      </c>
      <c r="U410" s="37" t="n">
        <f aca="false">'Assumptions &amp; Data'!S544</f>
        <v>146014</v>
      </c>
      <c r="V410" s="39" t="n">
        <f aca="false">Q410-R410-S410-T410-U410</f>
        <v>-606197.8369063</v>
      </c>
      <c r="W410" s="39" t="n">
        <f aca="false">DAY(EOMONTH(C410,0))</f>
        <v>31</v>
      </c>
      <c r="X410" s="40" t="n">
        <f aca="false">E410/W410</f>
        <v>408.838709677419</v>
      </c>
      <c r="Y410" s="39" t="n">
        <f aca="false">R410+S410+T410+U410</f>
        <v>1106514</v>
      </c>
    </row>
    <row r="411" customFormat="false" ht="15" hidden="false" customHeight="false" outlineLevel="0" collapsed="false">
      <c r="A411" s="37" t="str">
        <f aca="false">'Assumptions &amp; Data'!A545</f>
        <v>SM0341</v>
      </c>
      <c r="B411" s="37" t="str">
        <f aca="false">'Assumptions &amp; Data'!B545</f>
        <v>DS029</v>
      </c>
      <c r="C411" s="38" t="n">
        <f aca="false">'Assumptions &amp; Data'!C545</f>
        <v>46054</v>
      </c>
      <c r="D411" s="39" t="str">
        <f aca="false">INDEX('Assumptions &amp; Data'!$B$142:$B$201,MATCH(B411,'Assumptions &amp; Data'!$A$142:$A$201,0))</f>
        <v>Bengaluru</v>
      </c>
      <c r="E411" s="37" t="n">
        <f aca="false">'Assumptions &amp; Data'!D545</f>
        <v>12038</v>
      </c>
      <c r="F411" s="39" t="n">
        <f aca="false">E411*'Assumptions &amp; Data'!E545</f>
        <v>8037772.6</v>
      </c>
      <c r="G411" s="39" t="n">
        <f aca="false">F411*'Assumptions &amp; Data'!F545</f>
        <v>491107.90586</v>
      </c>
      <c r="H411" s="39" t="n">
        <f aca="false">F411-G411</f>
        <v>7546664.69414</v>
      </c>
      <c r="I411" s="39" t="n">
        <f aca="false">H411*'Assumptions &amp; Data'!G545</f>
        <v>1232370.34455306</v>
      </c>
      <c r="J411" s="39" t="n">
        <f aca="false">E411*'Assumptions &amp; Data'!H545</f>
        <v>137353.58</v>
      </c>
      <c r="K411" s="39" t="n">
        <f aca="false">H411*'Assumptions &amp; Data'!I545</f>
        <v>161498.624454596</v>
      </c>
      <c r="L411" s="39" t="n">
        <f aca="false">H411*'Assumptions &amp; Data'!J545</f>
        <v>298847.921887944</v>
      </c>
      <c r="M411" s="39" t="n">
        <f aca="false">I411+J411+K411-L411</f>
        <v>1232374.62711971</v>
      </c>
      <c r="N411" s="39" t="n">
        <f aca="false">E411*'Assumptions &amp; Data'!N545</f>
        <v>552784.96</v>
      </c>
      <c r="O411" s="39" t="n">
        <f aca="false">E411*'Assumptions &amp; Data'!O545</f>
        <v>130732.68</v>
      </c>
      <c r="P411" s="39" t="n">
        <f aca="false">H411*'Assumptions &amp; Data'!P545</f>
        <v>71693.31459433</v>
      </c>
      <c r="Q411" s="39" t="n">
        <f aca="false">M411-N411-O411-P411</f>
        <v>477163.672525384</v>
      </c>
      <c r="R411" s="39" t="n">
        <f aca="false">'Assumptions &amp; Data'!L545*'Assumptions &amp; Data'!M545</f>
        <v>353280</v>
      </c>
      <c r="S411" s="37" t="n">
        <f aca="false">'Assumptions &amp; Data'!Q545</f>
        <v>436500</v>
      </c>
      <c r="T411" s="37" t="n">
        <f aca="false">'Assumptions &amp; Data'!R545</f>
        <v>183054</v>
      </c>
      <c r="U411" s="37" t="n">
        <f aca="false">'Assumptions &amp; Data'!S545</f>
        <v>143143</v>
      </c>
      <c r="V411" s="39" t="n">
        <f aca="false">Q411-R411-S411-T411-U411</f>
        <v>-638813.327474616</v>
      </c>
      <c r="W411" s="39" t="n">
        <f aca="false">DAY(EOMONTH(C411,0))</f>
        <v>28</v>
      </c>
      <c r="X411" s="40" t="n">
        <f aca="false">E411/W411</f>
        <v>429.928571428571</v>
      </c>
      <c r="Y411" s="39" t="n">
        <f aca="false">R411+S411+T411+U411</f>
        <v>1115977</v>
      </c>
    </row>
    <row r="412" customFormat="false" ht="15" hidden="false" customHeight="false" outlineLevel="0" collapsed="false">
      <c r="A412" s="37" t="str">
        <f aca="false">'Assumptions &amp; Data'!A546</f>
        <v>SM0342</v>
      </c>
      <c r="B412" s="37" t="str">
        <f aca="false">'Assumptions &amp; Data'!B546</f>
        <v>DS029</v>
      </c>
      <c r="C412" s="38" t="n">
        <f aca="false">'Assumptions &amp; Data'!C546</f>
        <v>46082</v>
      </c>
      <c r="D412" s="39" t="str">
        <f aca="false">INDEX('Assumptions &amp; Data'!$B$142:$B$201,MATCH(B412,'Assumptions &amp; Data'!$A$142:$A$201,0))</f>
        <v>Bengaluru</v>
      </c>
      <c r="E412" s="37" t="n">
        <f aca="false">'Assumptions &amp; Data'!D546</f>
        <v>14070</v>
      </c>
      <c r="F412" s="39" t="n">
        <f aca="false">E412*'Assumptions &amp; Data'!E546</f>
        <v>9466296</v>
      </c>
      <c r="G412" s="39" t="n">
        <f aca="false">F412*'Assumptions &amp; Data'!F546</f>
        <v>580283.9448</v>
      </c>
      <c r="H412" s="39" t="n">
        <f aca="false">F412-G412</f>
        <v>8886012.0552</v>
      </c>
      <c r="I412" s="39" t="n">
        <f aca="false">H412*'Assumptions &amp; Data'!G546</f>
        <v>1491961.42406808</v>
      </c>
      <c r="J412" s="39" t="n">
        <f aca="false">E412*'Assumptions &amp; Data'!H546</f>
        <v>159835.2</v>
      </c>
      <c r="K412" s="39" t="n">
        <f aca="false">H412*'Assumptions &amp; Data'!I546</f>
        <v>204378.2772696</v>
      </c>
      <c r="L412" s="39" t="n">
        <f aca="false">H412*'Assumptions &amp; Data'!J546</f>
        <v>328782.4460424</v>
      </c>
      <c r="M412" s="39" t="n">
        <f aca="false">I412+J412+K412-L412</f>
        <v>1527392.45529528</v>
      </c>
      <c r="N412" s="39" t="n">
        <f aca="false">E412*'Assumptions &amp; Data'!N546</f>
        <v>606135.6</v>
      </c>
      <c r="O412" s="39" t="n">
        <f aca="false">E412*'Assumptions &amp; Data'!O546</f>
        <v>154066.5</v>
      </c>
      <c r="P412" s="39" t="n">
        <f aca="false">H412*'Assumptions &amp; Data'!P546</f>
        <v>87971.51934648</v>
      </c>
      <c r="Q412" s="39" t="n">
        <f aca="false">M412-N412-O412-P412</f>
        <v>679218.8359488</v>
      </c>
      <c r="R412" s="39" t="n">
        <f aca="false">'Assumptions &amp; Data'!L546*'Assumptions &amp; Data'!M546</f>
        <v>353600</v>
      </c>
      <c r="S412" s="37" t="n">
        <f aca="false">'Assumptions &amp; Data'!Q546</f>
        <v>436500</v>
      </c>
      <c r="T412" s="37" t="n">
        <f aca="false">'Assumptions &amp; Data'!R546</f>
        <v>174478</v>
      </c>
      <c r="U412" s="37" t="n">
        <f aca="false">'Assumptions &amp; Data'!S546</f>
        <v>148193</v>
      </c>
      <c r="V412" s="39" t="n">
        <f aca="false">Q412-R412-S412-T412-U412</f>
        <v>-433552.1640512</v>
      </c>
      <c r="W412" s="39" t="n">
        <f aca="false">DAY(EOMONTH(C412,0))</f>
        <v>31</v>
      </c>
      <c r="X412" s="40" t="n">
        <f aca="false">E412/W412</f>
        <v>453.870967741936</v>
      </c>
      <c r="Y412" s="39" t="n">
        <f aca="false">R412+S412+T412+U412</f>
        <v>1112771</v>
      </c>
    </row>
    <row r="413" customFormat="false" ht="15" hidden="false" customHeight="false" outlineLevel="0" collapsed="false">
      <c r="A413" s="37" t="str">
        <f aca="false">'Assumptions &amp; Data'!A547</f>
        <v>SM0343</v>
      </c>
      <c r="B413" s="37" t="str">
        <f aca="false">'Assumptions &amp; Data'!B547</f>
        <v>DS029</v>
      </c>
      <c r="C413" s="38" t="n">
        <f aca="false">'Assumptions &amp; Data'!C547</f>
        <v>46113</v>
      </c>
      <c r="D413" s="39" t="str">
        <f aca="false">INDEX('Assumptions &amp; Data'!$B$142:$B$201,MATCH(B413,'Assumptions &amp; Data'!$A$142:$A$201,0))</f>
        <v>Bengaluru</v>
      </c>
      <c r="E413" s="37" t="n">
        <f aca="false">'Assumptions &amp; Data'!D547</f>
        <v>15486</v>
      </c>
      <c r="F413" s="39" t="n">
        <f aca="false">E413*'Assumptions &amp; Data'!E547</f>
        <v>10158816</v>
      </c>
      <c r="G413" s="39" t="n">
        <f aca="false">F413*'Assumptions &amp; Data'!F547</f>
        <v>595306.6176</v>
      </c>
      <c r="H413" s="39" t="n">
        <f aca="false">F413-G413</f>
        <v>9563509.3824</v>
      </c>
      <c r="I413" s="39" t="n">
        <f aca="false">H413*'Assumptions &amp; Data'!G547</f>
        <v>1564590.13496064</v>
      </c>
      <c r="J413" s="39" t="n">
        <f aca="false">E413*'Assumptions &amp; Data'!H547</f>
        <v>180566.76</v>
      </c>
      <c r="K413" s="39" t="n">
        <f aca="false">H413*'Assumptions &amp; Data'!I547</f>
        <v>208484.50453632</v>
      </c>
      <c r="L413" s="39" t="n">
        <f aca="false">H413*'Assumptions &amp; Data'!J547</f>
        <v>357675.25090176</v>
      </c>
      <c r="M413" s="39" t="n">
        <f aca="false">I413+J413+K413-L413</f>
        <v>1595966.1485952</v>
      </c>
      <c r="N413" s="39" t="n">
        <f aca="false">E413*'Assumptions &amp; Data'!N547</f>
        <v>673950.72</v>
      </c>
      <c r="O413" s="39" t="n">
        <f aca="false">E413*'Assumptions &amp; Data'!O547</f>
        <v>160280.1</v>
      </c>
      <c r="P413" s="39" t="n">
        <f aca="false">H413*'Assumptions &amp; Data'!P547</f>
        <v>96591.44476224</v>
      </c>
      <c r="Q413" s="39" t="n">
        <f aca="false">M413-N413-O413-P413</f>
        <v>665143.88383296</v>
      </c>
      <c r="R413" s="39" t="n">
        <f aca="false">'Assumptions &amp; Data'!L547*'Assumptions &amp; Data'!M547</f>
        <v>353920</v>
      </c>
      <c r="S413" s="37" t="n">
        <f aca="false">'Assumptions &amp; Data'!Q547</f>
        <v>436500</v>
      </c>
      <c r="T413" s="37" t="n">
        <f aca="false">'Assumptions &amp; Data'!R547</f>
        <v>175532</v>
      </c>
      <c r="U413" s="37" t="n">
        <f aca="false">'Assumptions &amp; Data'!S547</f>
        <v>143115</v>
      </c>
      <c r="V413" s="39" t="n">
        <f aca="false">Q413-R413-S413-T413-U413</f>
        <v>-443923.11616704</v>
      </c>
      <c r="W413" s="39" t="n">
        <f aca="false">DAY(EOMONTH(C413,0))</f>
        <v>30</v>
      </c>
      <c r="X413" s="40" t="n">
        <f aca="false">E413/W413</f>
        <v>516.2</v>
      </c>
      <c r="Y413" s="39" t="n">
        <f aca="false">R413+S413+T413+U413</f>
        <v>1109067</v>
      </c>
    </row>
    <row r="414" customFormat="false" ht="15" hidden="false" customHeight="false" outlineLevel="0" collapsed="false">
      <c r="A414" s="37" t="str">
        <f aca="false">'Assumptions &amp; Data'!A548</f>
        <v>SM0344</v>
      </c>
      <c r="B414" s="37" t="str">
        <f aca="false">'Assumptions &amp; Data'!B548</f>
        <v>DS029</v>
      </c>
      <c r="C414" s="38" t="n">
        <f aca="false">'Assumptions &amp; Data'!C548</f>
        <v>46143</v>
      </c>
      <c r="D414" s="39" t="str">
        <f aca="false">INDEX('Assumptions &amp; Data'!$B$142:$B$201,MATCH(B414,'Assumptions &amp; Data'!$A$142:$A$201,0))</f>
        <v>Bengaluru</v>
      </c>
      <c r="E414" s="37" t="n">
        <f aca="false">'Assumptions &amp; Data'!D548</f>
        <v>18330</v>
      </c>
      <c r="F414" s="39" t="n">
        <f aca="false">E414*'Assumptions &amp; Data'!E548</f>
        <v>12022647</v>
      </c>
      <c r="G414" s="39" t="n">
        <f aca="false">F414*'Assumptions &amp; Data'!F548</f>
        <v>698515.7907</v>
      </c>
      <c r="H414" s="39" t="n">
        <f aca="false">F414-G414</f>
        <v>11324131.2093</v>
      </c>
      <c r="I414" s="39" t="n">
        <f aca="false">H414*'Assumptions &amp; Data'!G548</f>
        <v>1849230.62647869</v>
      </c>
      <c r="J414" s="39" t="n">
        <f aca="false">E414*'Assumptions &amp; Data'!H548</f>
        <v>212444.7</v>
      </c>
      <c r="K414" s="39" t="n">
        <f aca="false">H414*'Assumptions &amp; Data'!I548</f>
        <v>252528.12596739</v>
      </c>
      <c r="L414" s="39" t="n">
        <f aca="false">H414*'Assumptions &amp; Data'!J548</f>
        <v>396344.5923255</v>
      </c>
      <c r="M414" s="39" t="n">
        <f aca="false">I414+J414+K414-L414</f>
        <v>1917858.86012058</v>
      </c>
      <c r="N414" s="39" t="n">
        <f aca="false">E414*'Assumptions &amp; Data'!N548</f>
        <v>802304.1</v>
      </c>
      <c r="O414" s="39" t="n">
        <f aca="false">E414*'Assumptions &amp; Data'!O548</f>
        <v>200163.6</v>
      </c>
      <c r="P414" s="39" t="n">
        <f aca="false">H414*'Assumptions &amp; Data'!P548</f>
        <v>115506.13833486</v>
      </c>
      <c r="Q414" s="39" t="n">
        <f aca="false">M414-N414-O414-P414</f>
        <v>799885.02178572</v>
      </c>
      <c r="R414" s="39" t="n">
        <f aca="false">'Assumptions &amp; Data'!L548*'Assumptions &amp; Data'!M548</f>
        <v>354240</v>
      </c>
      <c r="S414" s="37" t="n">
        <f aca="false">'Assumptions &amp; Data'!Q548</f>
        <v>436500</v>
      </c>
      <c r="T414" s="37" t="n">
        <f aca="false">'Assumptions &amp; Data'!R548</f>
        <v>170599</v>
      </c>
      <c r="U414" s="37" t="n">
        <f aca="false">'Assumptions &amp; Data'!S548</f>
        <v>174111</v>
      </c>
      <c r="V414" s="39" t="n">
        <f aca="false">Q414-R414-S414-T414-U414</f>
        <v>-335564.97821428</v>
      </c>
      <c r="W414" s="39" t="n">
        <f aca="false">DAY(EOMONTH(C414,0))</f>
        <v>31</v>
      </c>
      <c r="X414" s="40" t="n">
        <f aca="false">E414/W414</f>
        <v>591.290322580645</v>
      </c>
      <c r="Y414" s="39" t="n">
        <f aca="false">R414+S414+T414+U414</f>
        <v>1135450</v>
      </c>
    </row>
    <row r="415" customFormat="false" ht="15" hidden="false" customHeight="false" outlineLevel="0" collapsed="false">
      <c r="A415" s="37" t="str">
        <f aca="false">'Assumptions &amp; Data'!A549</f>
        <v>SM0345</v>
      </c>
      <c r="B415" s="37" t="str">
        <f aca="false">'Assumptions &amp; Data'!B549</f>
        <v>DS029</v>
      </c>
      <c r="C415" s="38" t="n">
        <f aca="false">'Assumptions &amp; Data'!C549</f>
        <v>46174</v>
      </c>
      <c r="D415" s="39" t="str">
        <f aca="false">INDEX('Assumptions &amp; Data'!$B$142:$B$201,MATCH(B415,'Assumptions &amp; Data'!$A$142:$A$201,0))</f>
        <v>Bengaluru</v>
      </c>
      <c r="E415" s="37" t="n">
        <f aca="false">'Assumptions &amp; Data'!D549</f>
        <v>17578</v>
      </c>
      <c r="F415" s="39" t="n">
        <f aca="false">E415*'Assumptions &amp; Data'!E549</f>
        <v>11701674.6</v>
      </c>
      <c r="G415" s="39" t="n">
        <f aca="false">F415*'Assumptions &amp; Data'!F549</f>
        <v>640081.60062</v>
      </c>
      <c r="H415" s="39" t="n">
        <f aca="false">F415-G415</f>
        <v>11061592.99938</v>
      </c>
      <c r="I415" s="39" t="n">
        <f aca="false">H415*'Assumptions &amp; Data'!G549</f>
        <v>1801933.499599</v>
      </c>
      <c r="J415" s="39" t="n">
        <f aca="false">E415*'Assumptions &amp; Data'!H549</f>
        <v>199334.52</v>
      </c>
      <c r="K415" s="39" t="n">
        <f aca="false">H415*'Assumptions &amp; Data'!I549</f>
        <v>264372.072685182</v>
      </c>
      <c r="L415" s="39" t="n">
        <f aca="false">H415*'Assumptions &amp; Data'!J549</f>
        <v>390474.232878114</v>
      </c>
      <c r="M415" s="39" t="n">
        <f aca="false">I415+J415+K415-L415</f>
        <v>1875165.85940607</v>
      </c>
      <c r="N415" s="39" t="n">
        <f aca="false">E415*'Assumptions &amp; Data'!N549</f>
        <v>743373.62</v>
      </c>
      <c r="O415" s="39" t="n">
        <f aca="false">E415*'Assumptions &amp; Data'!O549</f>
        <v>189666.62</v>
      </c>
      <c r="P415" s="39" t="n">
        <f aca="false">H415*'Assumptions &amp; Data'!P549</f>
        <v>111722.089293738</v>
      </c>
      <c r="Q415" s="39" t="n">
        <f aca="false">M415-N415-O415-P415</f>
        <v>830403.530112332</v>
      </c>
      <c r="R415" s="39" t="n">
        <f aca="false">'Assumptions &amp; Data'!L549*'Assumptions &amp; Data'!M549</f>
        <v>354560</v>
      </c>
      <c r="S415" s="37" t="n">
        <f aca="false">'Assumptions &amp; Data'!Q549</f>
        <v>436500</v>
      </c>
      <c r="T415" s="37" t="n">
        <f aca="false">'Assumptions &amp; Data'!R549</f>
        <v>178832</v>
      </c>
      <c r="U415" s="37" t="n">
        <f aca="false">'Assumptions &amp; Data'!S549</f>
        <v>143501</v>
      </c>
      <c r="V415" s="39" t="n">
        <f aca="false">Q415-R415-S415-T415-U415</f>
        <v>-282989.469887668</v>
      </c>
      <c r="W415" s="39" t="n">
        <f aca="false">DAY(EOMONTH(C415,0))</f>
        <v>30</v>
      </c>
      <c r="X415" s="40" t="n">
        <f aca="false">E415/W415</f>
        <v>585.933333333333</v>
      </c>
      <c r="Y415" s="39" t="n">
        <f aca="false">R415+S415+T415+U415</f>
        <v>1113393</v>
      </c>
    </row>
    <row r="416" customFormat="false" ht="15" hidden="false" customHeight="false" outlineLevel="0" collapsed="false">
      <c r="A416" s="37" t="str">
        <f aca="false">'Assumptions &amp; Data'!A550</f>
        <v>SM0346</v>
      </c>
      <c r="B416" s="37" t="str">
        <f aca="false">'Assumptions &amp; Data'!B550</f>
        <v>DS029</v>
      </c>
      <c r="C416" s="38" t="n">
        <f aca="false">'Assumptions &amp; Data'!C550</f>
        <v>46204</v>
      </c>
      <c r="D416" s="39" t="str">
        <f aca="false">INDEX('Assumptions &amp; Data'!$B$142:$B$201,MATCH(B416,'Assumptions &amp; Data'!$A$142:$A$201,0))</f>
        <v>Bengaluru</v>
      </c>
      <c r="E416" s="37" t="n">
        <f aca="false">'Assumptions &amp; Data'!D550</f>
        <v>17645</v>
      </c>
      <c r="F416" s="39" t="n">
        <f aca="false">E416*'Assumptions &amp; Data'!E550</f>
        <v>11511598</v>
      </c>
      <c r="G416" s="39" t="n">
        <f aca="false">F416*'Assumptions &amp; Data'!F550</f>
        <v>667672.684</v>
      </c>
      <c r="H416" s="39" t="n">
        <f aca="false">F416-G416</f>
        <v>10843925.316</v>
      </c>
      <c r="I416" s="39" t="n">
        <f aca="false">H416*'Assumptions &amp; Data'!G550</f>
        <v>1762137.86385</v>
      </c>
      <c r="J416" s="39" t="n">
        <f aca="false">E416*'Assumptions &amp; Data'!H550</f>
        <v>191801.15</v>
      </c>
      <c r="K416" s="39" t="n">
        <f aca="false">H416*'Assumptions &amp; Data'!I550</f>
        <v>248325.8897364</v>
      </c>
      <c r="L416" s="39" t="n">
        <f aca="false">H416*'Assumptions &amp; Data'!J550</f>
        <v>391465.7039076</v>
      </c>
      <c r="M416" s="39" t="n">
        <f aca="false">I416+J416+K416-L416</f>
        <v>1810799.1996788</v>
      </c>
      <c r="N416" s="39" t="n">
        <f aca="false">E416*'Assumptions &amp; Data'!N550</f>
        <v>760323.05</v>
      </c>
      <c r="O416" s="39" t="n">
        <f aca="false">E416*'Assumptions &amp; Data'!O550</f>
        <v>184213.8</v>
      </c>
      <c r="P416" s="39" t="n">
        <f aca="false">H416*'Assumptions &amp; Data'!P550</f>
        <v>107354.8606284</v>
      </c>
      <c r="Q416" s="39" t="n">
        <f aca="false">M416-N416-O416-P416</f>
        <v>758907.4890504</v>
      </c>
      <c r="R416" s="39" t="n">
        <f aca="false">'Assumptions &amp; Data'!L550*'Assumptions &amp; Data'!M550</f>
        <v>354880</v>
      </c>
      <c r="S416" s="37" t="n">
        <f aca="false">'Assumptions &amp; Data'!Q550</f>
        <v>436500</v>
      </c>
      <c r="T416" s="37" t="n">
        <f aca="false">'Assumptions &amp; Data'!R550</f>
        <v>184385</v>
      </c>
      <c r="U416" s="37" t="n">
        <f aca="false">'Assumptions &amp; Data'!S550</f>
        <v>136027</v>
      </c>
      <c r="V416" s="39" t="n">
        <f aca="false">Q416-R416-S416-T416-U416</f>
        <v>-352884.5109496</v>
      </c>
      <c r="W416" s="39" t="n">
        <f aca="false">DAY(EOMONTH(C416,0))</f>
        <v>31</v>
      </c>
      <c r="X416" s="40" t="n">
        <f aca="false">E416/W416</f>
        <v>569.193548387097</v>
      </c>
      <c r="Y416" s="39" t="n">
        <f aca="false">R416+S416+T416+U416</f>
        <v>1111792</v>
      </c>
    </row>
    <row r="417" customFormat="false" ht="15" hidden="false" customHeight="false" outlineLevel="0" collapsed="false">
      <c r="A417" s="37" t="str">
        <f aca="false">'Assumptions &amp; Data'!A551</f>
        <v>SM0347</v>
      </c>
      <c r="B417" s="37" t="str">
        <f aca="false">'Assumptions &amp; Data'!B551</f>
        <v>DS029</v>
      </c>
      <c r="C417" s="38" t="n">
        <f aca="false">'Assumptions &amp; Data'!C551</f>
        <v>46235</v>
      </c>
      <c r="D417" s="39" t="str">
        <f aca="false">INDEX('Assumptions &amp; Data'!$B$142:$B$201,MATCH(B417,'Assumptions &amp; Data'!$A$142:$A$201,0))</f>
        <v>Bengaluru</v>
      </c>
      <c r="E417" s="37" t="n">
        <f aca="false">'Assumptions &amp; Data'!D551</f>
        <v>18214</v>
      </c>
      <c r="F417" s="39" t="n">
        <f aca="false">E417*'Assumptions &amp; Data'!E551</f>
        <v>12354556.2</v>
      </c>
      <c r="G417" s="39" t="n">
        <f aca="false">F417*'Assumptions &amp; Data'!F551</f>
        <v>695561.51406</v>
      </c>
      <c r="H417" s="39" t="n">
        <f aca="false">F417-G417</f>
        <v>11658994.68594</v>
      </c>
      <c r="I417" s="39" t="n">
        <f aca="false">H417*'Assumptions &amp; Data'!G551</f>
        <v>1907411.53061978</v>
      </c>
      <c r="J417" s="39" t="n">
        <f aca="false">E417*'Assumptions &amp; Data'!H551</f>
        <v>212010.96</v>
      </c>
      <c r="K417" s="39" t="n">
        <f aca="false">H417*'Assumptions &amp; Data'!I551</f>
        <v>305465.660771628</v>
      </c>
      <c r="L417" s="39" t="n">
        <f aca="false">H417*'Assumptions &amp; Data'!J551</f>
        <v>415060.210819464</v>
      </c>
      <c r="M417" s="39" t="n">
        <f aca="false">I417+J417+K417-L417</f>
        <v>2009827.94057195</v>
      </c>
      <c r="N417" s="39" t="n">
        <f aca="false">E417*'Assumptions &amp; Data'!N551</f>
        <v>784112.7</v>
      </c>
      <c r="O417" s="39" t="n">
        <f aca="false">E417*'Assumptions &amp; Data'!O551</f>
        <v>192521.98</v>
      </c>
      <c r="P417" s="39" t="n">
        <f aca="false">H417*'Assumptions &amp; Data'!P551</f>
        <v>117755.846327994</v>
      </c>
      <c r="Q417" s="39" t="n">
        <f aca="false">M417-N417-O417-P417</f>
        <v>915437.414243954</v>
      </c>
      <c r="R417" s="39" t="n">
        <f aca="false">'Assumptions &amp; Data'!L551*'Assumptions &amp; Data'!M551</f>
        <v>355200</v>
      </c>
      <c r="S417" s="37" t="n">
        <f aca="false">'Assumptions &amp; Data'!Q551</f>
        <v>436500</v>
      </c>
      <c r="T417" s="37" t="n">
        <f aca="false">'Assumptions &amp; Data'!R551</f>
        <v>192272</v>
      </c>
      <c r="U417" s="37" t="n">
        <f aca="false">'Assumptions &amp; Data'!S551</f>
        <v>135698</v>
      </c>
      <c r="V417" s="39" t="n">
        <f aca="false">Q417-R417-S417-T417-U417</f>
        <v>-204232.585756046</v>
      </c>
      <c r="W417" s="39" t="n">
        <f aca="false">DAY(EOMONTH(C417,0))</f>
        <v>31</v>
      </c>
      <c r="X417" s="40" t="n">
        <f aca="false">E417/W417</f>
        <v>587.548387096774</v>
      </c>
      <c r="Y417" s="39" t="n">
        <f aca="false">R417+S417+T417+U417</f>
        <v>1119670</v>
      </c>
    </row>
    <row r="418" customFormat="false" ht="15" hidden="false" customHeight="false" outlineLevel="0" collapsed="false">
      <c r="A418" s="37" t="str">
        <f aca="false">'Assumptions &amp; Data'!A552</f>
        <v>SM0348</v>
      </c>
      <c r="B418" s="37" t="str">
        <f aca="false">'Assumptions &amp; Data'!B552</f>
        <v>DS029</v>
      </c>
      <c r="C418" s="38" t="n">
        <f aca="false">'Assumptions &amp; Data'!C552</f>
        <v>46266</v>
      </c>
      <c r="D418" s="39" t="str">
        <f aca="false">INDEX('Assumptions &amp; Data'!$B$142:$B$201,MATCH(B418,'Assumptions &amp; Data'!$A$142:$A$201,0))</f>
        <v>Bengaluru</v>
      </c>
      <c r="E418" s="37" t="n">
        <f aca="false">'Assumptions &amp; Data'!D552</f>
        <v>18402</v>
      </c>
      <c r="F418" s="39" t="n">
        <f aca="false">E418*'Assumptions &amp; Data'!E552</f>
        <v>12261252.6</v>
      </c>
      <c r="G418" s="39" t="n">
        <f aca="false">F418*'Assumptions &amp; Data'!F552</f>
        <v>698891.3982</v>
      </c>
      <c r="H418" s="39" t="n">
        <f aca="false">F418-G418</f>
        <v>11562361.2018</v>
      </c>
      <c r="I418" s="39" t="n">
        <f aca="false">H418*'Assumptions &amp; Data'!G552</f>
        <v>1831478.01436512</v>
      </c>
      <c r="J418" s="39" t="n">
        <f aca="false">E418*'Assumptions &amp; Data'!H552</f>
        <v>220455.96</v>
      </c>
      <c r="K418" s="39" t="n">
        <f aca="false">H418*'Assumptions &amp; Data'!I552</f>
        <v>262465.59928086</v>
      </c>
      <c r="L418" s="39" t="n">
        <f aca="false">H418*'Assumptions &amp; Data'!J552</f>
        <v>403526.40594282</v>
      </c>
      <c r="M418" s="39" t="n">
        <f aca="false">I418+J418+K418-L418</f>
        <v>1910873.16770316</v>
      </c>
      <c r="N418" s="39" t="n">
        <f aca="false">E418*'Assumptions &amp; Data'!N552</f>
        <v>781164.9</v>
      </c>
      <c r="O418" s="39" t="n">
        <f aca="false">E418*'Assumptions &amp; Data'!O552</f>
        <v>186412.26</v>
      </c>
      <c r="P418" s="39" t="n">
        <f aca="false">H418*'Assumptions &amp; Data'!P552</f>
        <v>114467.37589782</v>
      </c>
      <c r="Q418" s="39" t="n">
        <f aca="false">M418-N418-O418-P418</f>
        <v>828828.63180534</v>
      </c>
      <c r="R418" s="39" t="n">
        <f aca="false">'Assumptions &amp; Data'!L552*'Assumptions &amp; Data'!M552</f>
        <v>355520</v>
      </c>
      <c r="S418" s="37" t="n">
        <f aca="false">'Assumptions &amp; Data'!Q552</f>
        <v>436500</v>
      </c>
      <c r="T418" s="37" t="n">
        <f aca="false">'Assumptions &amp; Data'!R552</f>
        <v>186223</v>
      </c>
      <c r="U418" s="37" t="n">
        <f aca="false">'Assumptions &amp; Data'!S552</f>
        <v>132559</v>
      </c>
      <c r="V418" s="39" t="n">
        <f aca="false">Q418-R418-S418-T418-U418</f>
        <v>-281973.36819466</v>
      </c>
      <c r="W418" s="39" t="n">
        <f aca="false">DAY(EOMONTH(C418,0))</f>
        <v>30</v>
      </c>
      <c r="X418" s="40" t="n">
        <f aca="false">E418/W418</f>
        <v>613.4</v>
      </c>
      <c r="Y418" s="39" t="n">
        <f aca="false">R418+S418+T418+U418</f>
        <v>1110802</v>
      </c>
    </row>
    <row r="419" customFormat="false" ht="15" hidden="false" customHeight="false" outlineLevel="0" collapsed="false">
      <c r="A419" s="37" t="str">
        <f aca="false">'Assumptions &amp; Data'!A553</f>
        <v>SM0349</v>
      </c>
      <c r="B419" s="37" t="str">
        <f aca="false">'Assumptions &amp; Data'!B553</f>
        <v>DS030</v>
      </c>
      <c r="C419" s="38" t="n">
        <f aca="false">'Assumptions &amp; Data'!C553</f>
        <v>45931</v>
      </c>
      <c r="D419" s="39" t="str">
        <f aca="false">INDEX('Assumptions &amp; Data'!$B$142:$B$201,MATCH(B419,'Assumptions &amp; Data'!$A$142:$A$201,0))</f>
        <v>Bengaluru</v>
      </c>
      <c r="E419" s="37" t="n">
        <f aca="false">'Assumptions &amp; Data'!D553</f>
        <v>2331</v>
      </c>
      <c r="F419" s="39" t="n">
        <f aca="false">E419*'Assumptions &amp; Data'!E553</f>
        <v>1516082.4</v>
      </c>
      <c r="G419" s="39" t="n">
        <f aca="false">F419*'Assumptions &amp; Data'!F553</f>
        <v>139327.97256</v>
      </c>
      <c r="H419" s="39" t="n">
        <f aca="false">F419-G419</f>
        <v>1376754.42744</v>
      </c>
      <c r="I419" s="39" t="n">
        <f aca="false">H419*'Assumptions &amp; Data'!G553</f>
        <v>227302.155970344</v>
      </c>
      <c r="J419" s="39" t="n">
        <f aca="false">E419*'Assumptions &amp; Data'!H553</f>
        <v>30629.34</v>
      </c>
      <c r="K419" s="39" t="n">
        <f aca="false">H419*'Assumptions &amp; Data'!I553</f>
        <v>23267.149823736</v>
      </c>
      <c r="L419" s="39" t="n">
        <f aca="false">H419*'Assumptions &amp; Data'!J553</f>
        <v>55207.852540344</v>
      </c>
      <c r="M419" s="39" t="n">
        <f aca="false">I419+J419+K419-L419</f>
        <v>225990.793253736</v>
      </c>
      <c r="N419" s="39" t="n">
        <f aca="false">E419*'Assumptions &amp; Data'!N553</f>
        <v>120186.36</v>
      </c>
      <c r="O419" s="39" t="n">
        <f aca="false">E419*'Assumptions &amp; Data'!O553</f>
        <v>23985.99</v>
      </c>
      <c r="P419" s="39" t="n">
        <f aca="false">H419*'Assumptions &amp; Data'!P553</f>
        <v>14180.570602632</v>
      </c>
      <c r="Q419" s="39" t="n">
        <f aca="false">M419-N419-O419-P419</f>
        <v>67637.872651104</v>
      </c>
      <c r="R419" s="39" t="n">
        <f aca="false">'Assumptions &amp; Data'!L553*'Assumptions &amp; Data'!M553</f>
        <v>352000</v>
      </c>
      <c r="S419" s="37" t="n">
        <f aca="false">'Assumptions &amp; Data'!Q553</f>
        <v>715000</v>
      </c>
      <c r="T419" s="37" t="n">
        <f aca="false">'Assumptions &amp; Data'!R553</f>
        <v>189018</v>
      </c>
      <c r="U419" s="37" t="n">
        <f aca="false">'Assumptions &amp; Data'!S553</f>
        <v>47488</v>
      </c>
      <c r="V419" s="39" t="n">
        <f aca="false">Q419-R419-S419-T419-U419</f>
        <v>-1235868.1273489</v>
      </c>
      <c r="W419" s="39" t="n">
        <f aca="false">DAY(EOMONTH(C419,0))</f>
        <v>31</v>
      </c>
      <c r="X419" s="40" t="n">
        <f aca="false">E419/W419</f>
        <v>75.1935483870968</v>
      </c>
      <c r="Y419" s="39" t="n">
        <f aca="false">R419+S419+T419+U419</f>
        <v>1303506</v>
      </c>
    </row>
    <row r="420" customFormat="false" ht="15" hidden="false" customHeight="false" outlineLevel="0" collapsed="false">
      <c r="A420" s="37" t="str">
        <f aca="false">'Assumptions &amp; Data'!A554</f>
        <v>SM0350</v>
      </c>
      <c r="B420" s="37" t="str">
        <f aca="false">'Assumptions &amp; Data'!B554</f>
        <v>DS030</v>
      </c>
      <c r="C420" s="38" t="n">
        <f aca="false">'Assumptions &amp; Data'!C554</f>
        <v>45962</v>
      </c>
      <c r="D420" s="39" t="str">
        <f aca="false">INDEX('Assumptions &amp; Data'!$B$142:$B$201,MATCH(B420,'Assumptions &amp; Data'!$A$142:$A$201,0))</f>
        <v>Bengaluru</v>
      </c>
      <c r="E420" s="37" t="n">
        <f aca="false">'Assumptions &amp; Data'!D554</f>
        <v>2110</v>
      </c>
      <c r="F420" s="39" t="n">
        <f aca="false">E420*'Assumptions &amp; Data'!E554</f>
        <v>1368546</v>
      </c>
      <c r="G420" s="39" t="n">
        <f aca="false">F420*'Assumptions &amp; Data'!F554</f>
        <v>124263.9768</v>
      </c>
      <c r="H420" s="39" t="n">
        <f aca="false">F420-G420</f>
        <v>1244282.0232</v>
      </c>
      <c r="I420" s="39" t="n">
        <f aca="false">H420*'Assumptions &amp; Data'!G554</f>
        <v>205306.533828</v>
      </c>
      <c r="J420" s="39" t="n">
        <f aca="false">E420*'Assumptions &amp; Data'!H554</f>
        <v>27197.9</v>
      </c>
      <c r="K420" s="39" t="n">
        <f aca="false">H420*'Assumptions &amp; Data'!I554</f>
        <v>22894.78922688</v>
      </c>
      <c r="L420" s="39" t="n">
        <f aca="false">H420*'Assumptions &amp; Data'!J554</f>
        <v>49024.71171408</v>
      </c>
      <c r="M420" s="39" t="n">
        <f aca="false">I420+J420+K420-L420</f>
        <v>206374.5113408</v>
      </c>
      <c r="N420" s="39" t="n">
        <f aca="false">E420*'Assumptions &amp; Data'!N554</f>
        <v>107040.3</v>
      </c>
      <c r="O420" s="39" t="n">
        <f aca="false">E420*'Assumptions &amp; Data'!O554</f>
        <v>22049.5</v>
      </c>
      <c r="P420" s="39" t="n">
        <f aca="false">H420*'Assumptions &amp; Data'!P554</f>
        <v>12816.10483896</v>
      </c>
      <c r="Q420" s="39" t="n">
        <f aca="false">M420-N420-O420-P420</f>
        <v>64468.60650184</v>
      </c>
      <c r="R420" s="39" t="n">
        <f aca="false">'Assumptions &amp; Data'!L554*'Assumptions &amp; Data'!M554</f>
        <v>352320</v>
      </c>
      <c r="S420" s="37" t="n">
        <f aca="false">'Assumptions &amp; Data'!Q554</f>
        <v>715000</v>
      </c>
      <c r="T420" s="37" t="n">
        <f aca="false">'Assumptions &amp; Data'!R554</f>
        <v>183747</v>
      </c>
      <c r="U420" s="37" t="n">
        <f aca="false">'Assumptions &amp; Data'!S554</f>
        <v>41967</v>
      </c>
      <c r="V420" s="39" t="n">
        <f aca="false">Q420-R420-S420-T420-U420</f>
        <v>-1228565.39349816</v>
      </c>
      <c r="W420" s="39" t="n">
        <f aca="false">DAY(EOMONTH(C420,0))</f>
        <v>30</v>
      </c>
      <c r="X420" s="40" t="n">
        <f aca="false">E420/W420</f>
        <v>70.3333333333333</v>
      </c>
      <c r="Y420" s="39" t="n">
        <f aca="false">R420+S420+T420+U420</f>
        <v>1293034</v>
      </c>
    </row>
    <row r="421" customFormat="false" ht="15" hidden="false" customHeight="false" outlineLevel="0" collapsed="false">
      <c r="A421" s="37" t="str">
        <f aca="false">'Assumptions &amp; Data'!A555</f>
        <v>SM0351</v>
      </c>
      <c r="B421" s="37" t="str">
        <f aca="false">'Assumptions &amp; Data'!B555</f>
        <v>DS030</v>
      </c>
      <c r="C421" s="38" t="n">
        <f aca="false">'Assumptions &amp; Data'!C555</f>
        <v>45992</v>
      </c>
      <c r="D421" s="39" t="str">
        <f aca="false">INDEX('Assumptions &amp; Data'!$B$142:$B$201,MATCH(B421,'Assumptions &amp; Data'!$A$142:$A$201,0))</f>
        <v>Bengaluru</v>
      </c>
      <c r="E421" s="37" t="n">
        <f aca="false">'Assumptions &amp; Data'!D555</f>
        <v>2082</v>
      </c>
      <c r="F421" s="39" t="n">
        <f aca="false">E421*'Assumptions &amp; Data'!E555</f>
        <v>1342890</v>
      </c>
      <c r="G421" s="39" t="n">
        <f aca="false">F421*'Assumptions &amp; Data'!F555</f>
        <v>118442.898</v>
      </c>
      <c r="H421" s="39" t="n">
        <f aca="false">F421-G421</f>
        <v>1224447.102</v>
      </c>
      <c r="I421" s="39" t="n">
        <f aca="false">H421*'Assumptions &amp; Data'!G555</f>
        <v>200931.7694382</v>
      </c>
      <c r="J421" s="39" t="n">
        <f aca="false">E421*'Assumptions &amp; Data'!H555</f>
        <v>26712.06</v>
      </c>
      <c r="K421" s="39" t="n">
        <f aca="false">H421*'Assumptions &amp; Data'!I555</f>
        <v>17632.0382688</v>
      </c>
      <c r="L421" s="39" t="n">
        <f aca="false">H421*'Assumptions &amp; Data'!J555</f>
        <v>45916.766325</v>
      </c>
      <c r="M421" s="39" t="n">
        <f aca="false">I421+J421+K421-L421</f>
        <v>199359.101382</v>
      </c>
      <c r="N421" s="39" t="n">
        <f aca="false">E421*'Assumptions &amp; Data'!N555</f>
        <v>103288.02</v>
      </c>
      <c r="O421" s="39" t="n">
        <f aca="false">E421*'Assumptions &amp; Data'!O555</f>
        <v>22298.22</v>
      </c>
      <c r="P421" s="39" t="n">
        <f aca="false">H421*'Assumptions &amp; Data'!P555</f>
        <v>12734.2498608</v>
      </c>
      <c r="Q421" s="39" t="n">
        <f aca="false">M421-N421-O421-P421</f>
        <v>61038.6115212</v>
      </c>
      <c r="R421" s="39" t="n">
        <f aca="false">'Assumptions &amp; Data'!L555*'Assumptions &amp; Data'!M555</f>
        <v>352640</v>
      </c>
      <c r="S421" s="37" t="n">
        <f aca="false">'Assumptions &amp; Data'!Q555</f>
        <v>715000</v>
      </c>
      <c r="T421" s="37" t="n">
        <f aca="false">'Assumptions &amp; Data'!R555</f>
        <v>193184</v>
      </c>
      <c r="U421" s="37" t="n">
        <f aca="false">'Assumptions &amp; Data'!S555</f>
        <v>39963</v>
      </c>
      <c r="V421" s="39" t="n">
        <f aca="false">Q421-R421-S421-T421-U421</f>
        <v>-1239748.3884788</v>
      </c>
      <c r="W421" s="39" t="n">
        <f aca="false">DAY(EOMONTH(C421,0))</f>
        <v>31</v>
      </c>
      <c r="X421" s="40" t="n">
        <f aca="false">E421/W421</f>
        <v>67.1612903225806</v>
      </c>
      <c r="Y421" s="39" t="n">
        <f aca="false">R421+S421+T421+U421</f>
        <v>1300787</v>
      </c>
    </row>
    <row r="422" customFormat="false" ht="15" hidden="false" customHeight="false" outlineLevel="0" collapsed="false">
      <c r="A422" s="37" t="str">
        <f aca="false">'Assumptions &amp; Data'!A556</f>
        <v>SM0352</v>
      </c>
      <c r="B422" s="37" t="str">
        <f aca="false">'Assumptions &amp; Data'!B556</f>
        <v>DS030</v>
      </c>
      <c r="C422" s="38" t="n">
        <f aca="false">'Assumptions &amp; Data'!C556</f>
        <v>46023</v>
      </c>
      <c r="D422" s="39" t="str">
        <f aca="false">INDEX('Assumptions &amp; Data'!$B$142:$B$201,MATCH(B422,'Assumptions &amp; Data'!$A$142:$A$201,0))</f>
        <v>Bengaluru</v>
      </c>
      <c r="E422" s="37" t="n">
        <f aca="false">'Assumptions &amp; Data'!D556</f>
        <v>2335</v>
      </c>
      <c r="F422" s="39" t="n">
        <f aca="false">E422*'Assumptions &amp; Data'!E556</f>
        <v>1549039</v>
      </c>
      <c r="G422" s="39" t="n">
        <f aca="false">F422*'Assumptions &amp; Data'!F556</f>
        <v>137864.471</v>
      </c>
      <c r="H422" s="39" t="n">
        <f aca="false">F422-G422</f>
        <v>1411174.529</v>
      </c>
      <c r="I422" s="39" t="n">
        <f aca="false">H422*'Assumptions &amp; Data'!G556</f>
        <v>232561.5623792</v>
      </c>
      <c r="J422" s="39" t="n">
        <f aca="false">E422*'Assumptions &amp; Data'!H556</f>
        <v>30238.25</v>
      </c>
      <c r="K422" s="39" t="n">
        <f aca="false">H422*'Assumptions &amp; Data'!I556</f>
        <v>23143.2622756</v>
      </c>
      <c r="L422" s="39" t="n">
        <f aca="false">H422*'Assumptions &amp; Data'!J556</f>
        <v>53342.3971962</v>
      </c>
      <c r="M422" s="39" t="n">
        <f aca="false">I422+J422+K422-L422</f>
        <v>232600.6774586</v>
      </c>
      <c r="N422" s="39" t="n">
        <f aca="false">E422*'Assumptions &amp; Data'!N556</f>
        <v>117006.85</v>
      </c>
      <c r="O422" s="39" t="n">
        <f aca="false">E422*'Assumptions &amp; Data'!O556</f>
        <v>24237.3</v>
      </c>
      <c r="P422" s="39" t="n">
        <f aca="false">H422*'Assumptions &amp; Data'!P556</f>
        <v>14535.0976487</v>
      </c>
      <c r="Q422" s="39" t="n">
        <f aca="false">M422-N422-O422-P422</f>
        <v>76821.4298099</v>
      </c>
      <c r="R422" s="39" t="n">
        <f aca="false">'Assumptions &amp; Data'!L556*'Assumptions &amp; Data'!M556</f>
        <v>352960</v>
      </c>
      <c r="S422" s="37" t="n">
        <f aca="false">'Assumptions &amp; Data'!Q556</f>
        <v>715000</v>
      </c>
      <c r="T422" s="37" t="n">
        <f aca="false">'Assumptions &amp; Data'!R556</f>
        <v>179251</v>
      </c>
      <c r="U422" s="37" t="n">
        <f aca="false">'Assumptions &amp; Data'!S556</f>
        <v>47268</v>
      </c>
      <c r="V422" s="39" t="n">
        <f aca="false">Q422-R422-S422-T422-U422</f>
        <v>-1217657.5701901</v>
      </c>
      <c r="W422" s="39" t="n">
        <f aca="false">DAY(EOMONTH(C422,0))</f>
        <v>31</v>
      </c>
      <c r="X422" s="40" t="n">
        <f aca="false">E422/W422</f>
        <v>75.3225806451613</v>
      </c>
      <c r="Y422" s="39" t="n">
        <f aca="false">R422+S422+T422+U422</f>
        <v>1294479</v>
      </c>
    </row>
    <row r="423" customFormat="false" ht="15" hidden="false" customHeight="false" outlineLevel="0" collapsed="false">
      <c r="A423" s="37" t="str">
        <f aca="false">'Assumptions &amp; Data'!A557</f>
        <v>SM0353</v>
      </c>
      <c r="B423" s="37" t="str">
        <f aca="false">'Assumptions &amp; Data'!B557</f>
        <v>DS030</v>
      </c>
      <c r="C423" s="38" t="n">
        <f aca="false">'Assumptions &amp; Data'!C557</f>
        <v>46054</v>
      </c>
      <c r="D423" s="39" t="str">
        <f aca="false">INDEX('Assumptions &amp; Data'!$B$142:$B$201,MATCH(B423,'Assumptions &amp; Data'!$A$142:$A$201,0))</f>
        <v>Bengaluru</v>
      </c>
      <c r="E423" s="37" t="n">
        <f aca="false">'Assumptions &amp; Data'!D557</f>
        <v>2084</v>
      </c>
      <c r="F423" s="39" t="n">
        <f aca="false">E423*'Assumptions &amp; Data'!E557</f>
        <v>1348139.6</v>
      </c>
      <c r="G423" s="39" t="n">
        <f aca="false">F423*'Assumptions &amp; Data'!F557</f>
        <v>120793.30816</v>
      </c>
      <c r="H423" s="39" t="n">
        <f aca="false">F423-G423</f>
        <v>1227346.29184</v>
      </c>
      <c r="I423" s="39" t="n">
        <f aca="false">H423*'Assumptions &amp; Data'!G557</f>
        <v>205703.238512384</v>
      </c>
      <c r="J423" s="39" t="n">
        <f aca="false">E423*'Assumptions &amp; Data'!H557</f>
        <v>27425.44</v>
      </c>
      <c r="K423" s="39" t="n">
        <f aca="false">H423*'Assumptions &amp; Data'!I557</f>
        <v>19269.336781888</v>
      </c>
      <c r="L423" s="39" t="n">
        <f aca="false">H423*'Assumptions &amp; Data'!J557</f>
        <v>48602.913156864</v>
      </c>
      <c r="M423" s="39" t="n">
        <f aca="false">I423+J423+K423-L423</f>
        <v>203795.102137408</v>
      </c>
      <c r="N423" s="39" t="n">
        <f aca="false">E423*'Assumptions &amp; Data'!N557</f>
        <v>104741.84</v>
      </c>
      <c r="O423" s="39" t="n">
        <f aca="false">E423*'Assumptions &amp; Data'!O557</f>
        <v>21756.96</v>
      </c>
      <c r="P423" s="39" t="n">
        <f aca="false">H423*'Assumptions &amp; Data'!P557</f>
        <v>12641.666805952</v>
      </c>
      <c r="Q423" s="39" t="n">
        <f aca="false">M423-N423-O423-P423</f>
        <v>64654.635331456</v>
      </c>
      <c r="R423" s="39" t="n">
        <f aca="false">'Assumptions &amp; Data'!L557*'Assumptions &amp; Data'!M557</f>
        <v>353280</v>
      </c>
      <c r="S423" s="37" t="n">
        <f aca="false">'Assumptions &amp; Data'!Q557</f>
        <v>715000</v>
      </c>
      <c r="T423" s="37" t="n">
        <f aca="false">'Assumptions &amp; Data'!R557</f>
        <v>185750</v>
      </c>
      <c r="U423" s="37" t="n">
        <f aca="false">'Assumptions &amp; Data'!S557</f>
        <v>40945</v>
      </c>
      <c r="V423" s="39" t="n">
        <f aca="false">Q423-R423-S423-T423-U423</f>
        <v>-1230320.36466854</v>
      </c>
      <c r="W423" s="39" t="n">
        <f aca="false">DAY(EOMONTH(C423,0))</f>
        <v>28</v>
      </c>
      <c r="X423" s="40" t="n">
        <f aca="false">E423/W423</f>
        <v>74.4285714285714</v>
      </c>
      <c r="Y423" s="39" t="n">
        <f aca="false">R423+S423+T423+U423</f>
        <v>1294975</v>
      </c>
    </row>
    <row r="424" customFormat="false" ht="15" hidden="false" customHeight="false" outlineLevel="0" collapsed="false">
      <c r="A424" s="37" t="str">
        <f aca="false">'Assumptions &amp; Data'!A558</f>
        <v>SM0354</v>
      </c>
      <c r="B424" s="37" t="str">
        <f aca="false">'Assumptions &amp; Data'!B558</f>
        <v>DS030</v>
      </c>
      <c r="C424" s="38" t="n">
        <f aca="false">'Assumptions &amp; Data'!C558</f>
        <v>46082</v>
      </c>
      <c r="D424" s="39" t="str">
        <f aca="false">INDEX('Assumptions &amp; Data'!$B$142:$B$201,MATCH(B424,'Assumptions &amp; Data'!$A$142:$A$201,0))</f>
        <v>Bengaluru</v>
      </c>
      <c r="E424" s="37" t="n">
        <f aca="false">'Assumptions &amp; Data'!D558</f>
        <v>2302</v>
      </c>
      <c r="F424" s="39" t="n">
        <f aca="false">E424*'Assumptions &amp; Data'!E558</f>
        <v>1491235.6</v>
      </c>
      <c r="G424" s="39" t="n">
        <f aca="false">F424*'Assumptions &amp; Data'!F558</f>
        <v>134211.204</v>
      </c>
      <c r="H424" s="39" t="n">
        <f aca="false">F424-G424</f>
        <v>1357024.396</v>
      </c>
      <c r="I424" s="39" t="n">
        <f aca="false">H424*'Assumptions &amp; Data'!G558</f>
        <v>223909.02534</v>
      </c>
      <c r="J424" s="39" t="n">
        <f aca="false">E424*'Assumptions &amp; Data'!H558</f>
        <v>27969.3</v>
      </c>
      <c r="K424" s="39" t="n">
        <f aca="false">H424*'Assumptions &amp; Data'!I558</f>
        <v>23747.92693</v>
      </c>
      <c r="L424" s="39" t="n">
        <f aca="false">H424*'Assumptions &amp; Data'!J558</f>
        <v>52652.5465648</v>
      </c>
      <c r="M424" s="39" t="n">
        <f aca="false">I424+J424+K424-L424</f>
        <v>222973.7057052</v>
      </c>
      <c r="N424" s="39" t="n">
        <f aca="false">E424*'Assumptions &amp; Data'!N558</f>
        <v>114179.2</v>
      </c>
      <c r="O424" s="39" t="n">
        <f aca="false">E424*'Assumptions &amp; Data'!O558</f>
        <v>24401.2</v>
      </c>
      <c r="P424" s="39" t="n">
        <f aca="false">H424*'Assumptions &amp; Data'!P558</f>
        <v>13027.4342016</v>
      </c>
      <c r="Q424" s="39" t="n">
        <f aca="false">M424-N424-O424-P424</f>
        <v>71365.8715036</v>
      </c>
      <c r="R424" s="39" t="n">
        <f aca="false">'Assumptions &amp; Data'!L558*'Assumptions &amp; Data'!M558</f>
        <v>353600</v>
      </c>
      <c r="S424" s="37" t="n">
        <f aca="false">'Assumptions &amp; Data'!Q558</f>
        <v>715000</v>
      </c>
      <c r="T424" s="37" t="n">
        <f aca="false">'Assumptions &amp; Data'!R558</f>
        <v>184370</v>
      </c>
      <c r="U424" s="37" t="n">
        <f aca="false">'Assumptions &amp; Data'!S558</f>
        <v>46540</v>
      </c>
      <c r="V424" s="39" t="n">
        <f aca="false">Q424-R424-S424-T424-U424</f>
        <v>-1228144.1284964</v>
      </c>
      <c r="W424" s="39" t="n">
        <f aca="false">DAY(EOMONTH(C424,0))</f>
        <v>31</v>
      </c>
      <c r="X424" s="40" t="n">
        <f aca="false">E424/W424</f>
        <v>74.258064516129</v>
      </c>
      <c r="Y424" s="39" t="n">
        <f aca="false">R424+S424+T424+U424</f>
        <v>1299510</v>
      </c>
    </row>
    <row r="425" customFormat="false" ht="15" hidden="false" customHeight="false" outlineLevel="0" collapsed="false">
      <c r="A425" s="37" t="str">
        <f aca="false">'Assumptions &amp; Data'!A559</f>
        <v>SM0355</v>
      </c>
      <c r="B425" s="37" t="str">
        <f aca="false">'Assumptions &amp; Data'!B559</f>
        <v>DS030</v>
      </c>
      <c r="C425" s="38" t="n">
        <f aca="false">'Assumptions &amp; Data'!C559</f>
        <v>46113</v>
      </c>
      <c r="D425" s="39" t="str">
        <f aca="false">INDEX('Assumptions &amp; Data'!$B$142:$B$201,MATCH(B425,'Assumptions &amp; Data'!$A$142:$A$201,0))</f>
        <v>Bengaluru</v>
      </c>
      <c r="E425" s="37" t="n">
        <f aca="false">'Assumptions &amp; Data'!D559</f>
        <v>2127</v>
      </c>
      <c r="F425" s="39" t="n">
        <f aca="false">E425*'Assumptions &amp; Data'!E559</f>
        <v>1380210.3</v>
      </c>
      <c r="G425" s="39" t="n">
        <f aca="false">F425*'Assumptions &amp; Data'!F559</f>
        <v>118698.0858</v>
      </c>
      <c r="H425" s="39" t="n">
        <f aca="false">F425-G425</f>
        <v>1261512.2142</v>
      </c>
      <c r="I425" s="39" t="n">
        <f aca="false">H425*'Assumptions &amp; Data'!G559</f>
        <v>212312.50564986</v>
      </c>
      <c r="J425" s="39" t="n">
        <f aca="false">E425*'Assumptions &amp; Data'!H559</f>
        <v>26098.29</v>
      </c>
      <c r="K425" s="39" t="n">
        <f aca="false">H425*'Assumptions &amp; Data'!I559</f>
        <v>21698.01008424</v>
      </c>
      <c r="L425" s="39" t="n">
        <f aca="false">H425*'Assumptions &amp; Data'!J559</f>
        <v>48442.06902528</v>
      </c>
      <c r="M425" s="39" t="n">
        <f aca="false">I425+J425+K425-L425</f>
        <v>211666.73670882</v>
      </c>
      <c r="N425" s="39" t="n">
        <f aca="false">E425*'Assumptions &amp; Data'!N559</f>
        <v>109115.1</v>
      </c>
      <c r="O425" s="39" t="n">
        <f aca="false">E425*'Assumptions &amp; Data'!O559</f>
        <v>22567.47</v>
      </c>
      <c r="P425" s="39" t="n">
        <f aca="false">H425*'Assumptions &amp; Data'!P559</f>
        <v>12362.81969916</v>
      </c>
      <c r="Q425" s="39" t="n">
        <f aca="false">M425-N425-O425-P425</f>
        <v>67621.3470096601</v>
      </c>
      <c r="R425" s="39" t="n">
        <f aca="false">'Assumptions &amp; Data'!L559*'Assumptions &amp; Data'!M559</f>
        <v>353920</v>
      </c>
      <c r="S425" s="37" t="n">
        <f aca="false">'Assumptions &amp; Data'!Q559</f>
        <v>715000</v>
      </c>
      <c r="T425" s="37" t="n">
        <f aca="false">'Assumptions &amp; Data'!R559</f>
        <v>188506</v>
      </c>
      <c r="U425" s="37" t="n">
        <f aca="false">'Assumptions &amp; Data'!S559</f>
        <v>42689</v>
      </c>
      <c r="V425" s="39" t="n">
        <f aca="false">Q425-R425-S425-T425-U425</f>
        <v>-1232493.65299034</v>
      </c>
      <c r="W425" s="39" t="n">
        <f aca="false">DAY(EOMONTH(C425,0))</f>
        <v>30</v>
      </c>
      <c r="X425" s="40" t="n">
        <f aca="false">E425/W425</f>
        <v>70.9</v>
      </c>
      <c r="Y425" s="39" t="n">
        <f aca="false">R425+S425+T425+U425</f>
        <v>1300115</v>
      </c>
    </row>
    <row r="426" customFormat="false" ht="15" hidden="false" customHeight="false" outlineLevel="0" collapsed="false">
      <c r="A426" s="37" t="str">
        <f aca="false">'Assumptions &amp; Data'!A560</f>
        <v>SM0356</v>
      </c>
      <c r="B426" s="37" t="str">
        <f aca="false">'Assumptions &amp; Data'!B560</f>
        <v>DS030</v>
      </c>
      <c r="C426" s="38" t="n">
        <f aca="false">'Assumptions &amp; Data'!C560</f>
        <v>46143</v>
      </c>
      <c r="D426" s="39" t="str">
        <f aca="false">INDEX('Assumptions &amp; Data'!$B$142:$B$201,MATCH(B426,'Assumptions &amp; Data'!$A$142:$A$201,0))</f>
        <v>Bengaluru</v>
      </c>
      <c r="E426" s="37" t="n">
        <f aca="false">'Assumptions &amp; Data'!D560</f>
        <v>2495</v>
      </c>
      <c r="F426" s="39" t="n">
        <f aca="false">E426*'Assumptions &amp; Data'!E560</f>
        <v>1619754</v>
      </c>
      <c r="G426" s="39" t="n">
        <f aca="false">F426*'Assumptions &amp; Data'!F560</f>
        <v>141890.4504</v>
      </c>
      <c r="H426" s="39" t="n">
        <f aca="false">F426-G426</f>
        <v>1477863.5496</v>
      </c>
      <c r="I426" s="39" t="n">
        <f aca="false">H426*'Assumptions &amp; Data'!G560</f>
        <v>241778.47671456</v>
      </c>
      <c r="J426" s="39" t="n">
        <f aca="false">E426*'Assumptions &amp; Data'!H560</f>
        <v>32784.3</v>
      </c>
      <c r="K426" s="39" t="n">
        <f aca="false">H426*'Assumptions &amp; Data'!I560</f>
        <v>26010.39847296</v>
      </c>
      <c r="L426" s="39" t="n">
        <f aca="false">H426*'Assumptions &amp; Data'!J560</f>
        <v>56749.96030464</v>
      </c>
      <c r="M426" s="39" t="n">
        <f aca="false">I426+J426+K426-L426</f>
        <v>243823.21488288</v>
      </c>
      <c r="N426" s="39" t="n">
        <f aca="false">E426*'Assumptions &amp; Data'!N560</f>
        <v>125897.7</v>
      </c>
      <c r="O426" s="39" t="n">
        <f aca="false">E426*'Assumptions &amp; Data'!O560</f>
        <v>26471.95</v>
      </c>
      <c r="P426" s="39" t="n">
        <f aca="false">H426*'Assumptions &amp; Data'!P560</f>
        <v>14335.27643112</v>
      </c>
      <c r="Q426" s="39" t="n">
        <f aca="false">M426-N426-O426-P426</f>
        <v>77118.28845176</v>
      </c>
      <c r="R426" s="39" t="n">
        <f aca="false">'Assumptions &amp; Data'!L560*'Assumptions &amp; Data'!M560</f>
        <v>354240</v>
      </c>
      <c r="S426" s="37" t="n">
        <f aca="false">'Assumptions &amp; Data'!Q560</f>
        <v>715000</v>
      </c>
      <c r="T426" s="37" t="n">
        <f aca="false">'Assumptions &amp; Data'!R560</f>
        <v>191052</v>
      </c>
      <c r="U426" s="37" t="n">
        <f aca="false">'Assumptions &amp; Data'!S560</f>
        <v>50677</v>
      </c>
      <c r="V426" s="39" t="n">
        <f aca="false">Q426-R426-S426-T426-U426</f>
        <v>-1233850.71154824</v>
      </c>
      <c r="W426" s="39" t="n">
        <f aca="false">DAY(EOMONTH(C426,0))</f>
        <v>31</v>
      </c>
      <c r="X426" s="40" t="n">
        <f aca="false">E426/W426</f>
        <v>80.4838709677419</v>
      </c>
      <c r="Y426" s="39" t="n">
        <f aca="false">R426+S426+T426+U426</f>
        <v>1310969</v>
      </c>
    </row>
    <row r="427" customFormat="false" ht="15" hidden="false" customHeight="false" outlineLevel="0" collapsed="false">
      <c r="A427" s="37" t="str">
        <f aca="false">'Assumptions &amp; Data'!A561</f>
        <v>SM0357</v>
      </c>
      <c r="B427" s="37" t="str">
        <f aca="false">'Assumptions &amp; Data'!B561</f>
        <v>DS030</v>
      </c>
      <c r="C427" s="38" t="n">
        <f aca="false">'Assumptions &amp; Data'!C561</f>
        <v>46174</v>
      </c>
      <c r="D427" s="39" t="str">
        <f aca="false">INDEX('Assumptions &amp; Data'!$B$142:$B$201,MATCH(B427,'Assumptions &amp; Data'!$A$142:$A$201,0))</f>
        <v>Bengaluru</v>
      </c>
      <c r="E427" s="37" t="n">
        <f aca="false">'Assumptions &amp; Data'!D561</f>
        <v>2138</v>
      </c>
      <c r="F427" s="39" t="n">
        <f aca="false">E427*'Assumptions &amp; Data'!E561</f>
        <v>1370458</v>
      </c>
      <c r="G427" s="39" t="n">
        <f aca="false">F427*'Assumptions &amp; Data'!F561</f>
        <v>121559.6246</v>
      </c>
      <c r="H427" s="39" t="n">
        <f aca="false">F427-G427</f>
        <v>1248898.3754</v>
      </c>
      <c r="I427" s="39" t="n">
        <f aca="false">H427*'Assumptions &amp; Data'!G561</f>
        <v>201322.41811448</v>
      </c>
      <c r="J427" s="39" t="n">
        <f aca="false">E427*'Assumptions &amp; Data'!H561</f>
        <v>28627.82</v>
      </c>
      <c r="K427" s="39" t="n">
        <f aca="false">H427*'Assumptions &amp; Data'!I561</f>
        <v>19982.3740064</v>
      </c>
      <c r="L427" s="39" t="n">
        <f aca="false">H427*'Assumptions &amp; Data'!J561</f>
        <v>49831.04517846</v>
      </c>
      <c r="M427" s="39" t="n">
        <f aca="false">I427+J427+K427-L427</f>
        <v>200101.56694242</v>
      </c>
      <c r="N427" s="39" t="n">
        <f aca="false">E427*'Assumptions &amp; Data'!N561</f>
        <v>109038</v>
      </c>
      <c r="O427" s="39" t="n">
        <f aca="false">E427*'Assumptions &amp; Data'!O561</f>
        <v>22641.42</v>
      </c>
      <c r="P427" s="39" t="n">
        <f aca="false">H427*'Assumptions &amp; Data'!P561</f>
        <v>12738.76342908</v>
      </c>
      <c r="Q427" s="39" t="n">
        <f aca="false">M427-N427-O427-P427</f>
        <v>55683.38351334</v>
      </c>
      <c r="R427" s="39" t="n">
        <f aca="false">'Assumptions &amp; Data'!L561*'Assumptions &amp; Data'!M561</f>
        <v>354560</v>
      </c>
      <c r="S427" s="37" t="n">
        <f aca="false">'Assumptions &amp; Data'!Q561</f>
        <v>715000</v>
      </c>
      <c r="T427" s="37" t="n">
        <f aca="false">'Assumptions &amp; Data'!R561</f>
        <v>191641</v>
      </c>
      <c r="U427" s="37" t="n">
        <f aca="false">'Assumptions &amp; Data'!S561</f>
        <v>41346</v>
      </c>
      <c r="V427" s="39" t="n">
        <f aca="false">Q427-R427-S427-T427-U427</f>
        <v>-1246863.61648666</v>
      </c>
      <c r="W427" s="39" t="n">
        <f aca="false">DAY(EOMONTH(C427,0))</f>
        <v>30</v>
      </c>
      <c r="X427" s="40" t="n">
        <f aca="false">E427/W427</f>
        <v>71.2666666666667</v>
      </c>
      <c r="Y427" s="39" t="n">
        <f aca="false">R427+S427+T427+U427</f>
        <v>1302547</v>
      </c>
    </row>
    <row r="428" customFormat="false" ht="15" hidden="false" customHeight="false" outlineLevel="0" collapsed="false">
      <c r="A428" s="37" t="str">
        <f aca="false">'Assumptions &amp; Data'!A562</f>
        <v>SM0358</v>
      </c>
      <c r="B428" s="37" t="str">
        <f aca="false">'Assumptions &amp; Data'!B562</f>
        <v>DS030</v>
      </c>
      <c r="C428" s="38" t="n">
        <f aca="false">'Assumptions &amp; Data'!C562</f>
        <v>46204</v>
      </c>
      <c r="D428" s="39" t="str">
        <f aca="false">INDEX('Assumptions &amp; Data'!$B$142:$B$201,MATCH(B428,'Assumptions &amp; Data'!$A$142:$A$201,0))</f>
        <v>Bengaluru</v>
      </c>
      <c r="E428" s="37" t="n">
        <f aca="false">'Assumptions &amp; Data'!D562</f>
        <v>4209</v>
      </c>
      <c r="F428" s="39" t="n">
        <f aca="false">E428*'Assumptions &amp; Data'!E562</f>
        <v>2692918.2</v>
      </c>
      <c r="G428" s="39" t="n">
        <f aca="false">F428*'Assumptions &amp; Data'!F562</f>
        <v>228359.46336</v>
      </c>
      <c r="H428" s="39" t="n">
        <f aca="false">F428-G428</f>
        <v>2464558.73664</v>
      </c>
      <c r="I428" s="39" t="n">
        <f aca="false">H428*'Assumptions &amp; Data'!G562</f>
        <v>401969.529945984</v>
      </c>
      <c r="J428" s="39" t="n">
        <f aca="false">E428*'Assumptions &amp; Data'!H562</f>
        <v>53791.02</v>
      </c>
      <c r="K428" s="39" t="n">
        <f aca="false">H428*'Assumptions &amp; Data'!I562</f>
        <v>47073.071869824</v>
      </c>
      <c r="L428" s="39" t="n">
        <f aca="false">H428*'Assumptions &amp; Data'!J562</f>
        <v>92420.952624</v>
      </c>
      <c r="M428" s="39" t="n">
        <f aca="false">I428+J428+K428-L428</f>
        <v>410412.669191808</v>
      </c>
      <c r="N428" s="39" t="n">
        <f aca="false">E428*'Assumptions &amp; Data'!N562</f>
        <v>208177.14</v>
      </c>
      <c r="O428" s="39" t="n">
        <f aca="false">E428*'Assumptions &amp; Data'!O562</f>
        <v>45204.66</v>
      </c>
      <c r="P428" s="39" t="n">
        <f aca="false">H428*'Assumptions &amp; Data'!P562</f>
        <v>23906.219745408</v>
      </c>
      <c r="Q428" s="39" t="n">
        <f aca="false">M428-N428-O428-P428</f>
        <v>133124.6494464</v>
      </c>
      <c r="R428" s="39" t="n">
        <f aca="false">'Assumptions &amp; Data'!L562*'Assumptions &amp; Data'!M562</f>
        <v>354880</v>
      </c>
      <c r="S428" s="37" t="n">
        <f aca="false">'Assumptions &amp; Data'!Q562</f>
        <v>715000</v>
      </c>
      <c r="T428" s="37" t="n">
        <f aca="false">'Assumptions &amp; Data'!R562</f>
        <v>189761</v>
      </c>
      <c r="U428" s="37" t="n">
        <f aca="false">'Assumptions &amp; Data'!S562</f>
        <v>76961</v>
      </c>
      <c r="V428" s="39" t="n">
        <f aca="false">Q428-R428-S428-T428-U428</f>
        <v>-1203477.3505536</v>
      </c>
      <c r="W428" s="39" t="n">
        <f aca="false">DAY(EOMONTH(C428,0))</f>
        <v>31</v>
      </c>
      <c r="X428" s="40" t="n">
        <f aca="false">E428/W428</f>
        <v>135.774193548387</v>
      </c>
      <c r="Y428" s="39" t="n">
        <f aca="false">R428+S428+T428+U428</f>
        <v>1336602</v>
      </c>
    </row>
    <row r="429" customFormat="false" ht="15" hidden="false" customHeight="false" outlineLevel="0" collapsed="false">
      <c r="A429" s="37" t="str">
        <f aca="false">'Assumptions &amp; Data'!A563</f>
        <v>SM0359</v>
      </c>
      <c r="B429" s="37" t="str">
        <f aca="false">'Assumptions &amp; Data'!B563</f>
        <v>DS030</v>
      </c>
      <c r="C429" s="38" t="n">
        <f aca="false">'Assumptions &amp; Data'!C563</f>
        <v>46235</v>
      </c>
      <c r="D429" s="39" t="str">
        <f aca="false">INDEX('Assumptions &amp; Data'!$B$142:$B$201,MATCH(B429,'Assumptions &amp; Data'!$A$142:$A$201,0))</f>
        <v>Bengaluru</v>
      </c>
      <c r="E429" s="37" t="n">
        <f aca="false">'Assumptions &amp; Data'!D563</f>
        <v>6234</v>
      </c>
      <c r="F429" s="39" t="n">
        <f aca="false">E429*'Assumptions &amp; Data'!E563</f>
        <v>3954849.6</v>
      </c>
      <c r="G429" s="39" t="n">
        <f aca="false">F429*'Assumptions &amp; Data'!F563</f>
        <v>308082.78384</v>
      </c>
      <c r="H429" s="39" t="n">
        <f aca="false">F429-G429</f>
        <v>3646766.81616</v>
      </c>
      <c r="I429" s="39" t="n">
        <f aca="false">H429*'Assumptions &amp; Data'!G563</f>
        <v>593328.960989232</v>
      </c>
      <c r="J429" s="39" t="n">
        <f aca="false">E429*'Assumptions &amp; Data'!H563</f>
        <v>86527.92</v>
      </c>
      <c r="K429" s="39" t="n">
        <f aca="false">H429*'Assumptions &amp; Data'!I563</f>
        <v>66735.832735728</v>
      </c>
      <c r="L429" s="39" t="n">
        <f aca="false">H429*'Assumptions &amp; Data'!J563</f>
        <v>131648.282063376</v>
      </c>
      <c r="M429" s="39" t="n">
        <f aca="false">I429+J429+K429-L429</f>
        <v>614944.431661584</v>
      </c>
      <c r="N429" s="39" t="n">
        <f aca="false">E429*'Assumptions &amp; Data'!N563</f>
        <v>305902.38</v>
      </c>
      <c r="O429" s="39" t="n">
        <f aca="false">E429*'Assumptions &amp; Data'!O563</f>
        <v>66267.42</v>
      </c>
      <c r="P429" s="39" t="n">
        <f aca="false">H429*'Assumptions &amp; Data'!P563</f>
        <v>38291.05156968</v>
      </c>
      <c r="Q429" s="39" t="n">
        <f aca="false">M429-N429-O429-P429</f>
        <v>204483.580091904</v>
      </c>
      <c r="R429" s="39" t="n">
        <f aca="false">'Assumptions &amp; Data'!L563*'Assumptions &amp; Data'!M563</f>
        <v>355200</v>
      </c>
      <c r="S429" s="37" t="n">
        <f aca="false">'Assumptions &amp; Data'!Q563</f>
        <v>715000</v>
      </c>
      <c r="T429" s="37" t="n">
        <f aca="false">'Assumptions &amp; Data'!R563</f>
        <v>191702</v>
      </c>
      <c r="U429" s="37" t="n">
        <f aca="false">'Assumptions &amp; Data'!S563</f>
        <v>104229</v>
      </c>
      <c r="V429" s="39" t="n">
        <f aca="false">Q429-R429-S429-T429-U429</f>
        <v>-1161647.4199081</v>
      </c>
      <c r="W429" s="39" t="n">
        <f aca="false">DAY(EOMONTH(C429,0))</f>
        <v>31</v>
      </c>
      <c r="X429" s="40" t="n">
        <f aca="false">E429/W429</f>
        <v>201.096774193548</v>
      </c>
      <c r="Y429" s="39" t="n">
        <f aca="false">R429+S429+T429+U429</f>
        <v>1366131</v>
      </c>
    </row>
    <row r="430" customFormat="false" ht="15" hidden="false" customHeight="false" outlineLevel="0" collapsed="false">
      <c r="A430" s="37" t="str">
        <f aca="false">'Assumptions &amp; Data'!A564</f>
        <v>SM0360</v>
      </c>
      <c r="B430" s="37" t="str">
        <f aca="false">'Assumptions &amp; Data'!B564</f>
        <v>DS030</v>
      </c>
      <c r="C430" s="38" t="n">
        <f aca="false">'Assumptions &amp; Data'!C564</f>
        <v>46266</v>
      </c>
      <c r="D430" s="39" t="str">
        <f aca="false">INDEX('Assumptions &amp; Data'!$B$142:$B$201,MATCH(B430,'Assumptions &amp; Data'!$A$142:$A$201,0))</f>
        <v>Bengaluru</v>
      </c>
      <c r="E430" s="37" t="n">
        <f aca="false">'Assumptions &amp; Data'!D564</f>
        <v>8212</v>
      </c>
      <c r="F430" s="39" t="n">
        <f aca="false">E430*'Assumptions &amp; Data'!E564</f>
        <v>5249931.6</v>
      </c>
      <c r="G430" s="39" t="n">
        <f aca="false">F430*'Assumptions &amp; Data'!F564</f>
        <v>422619.4938</v>
      </c>
      <c r="H430" s="39" t="n">
        <f aca="false">F430-G430</f>
        <v>4827312.1062</v>
      </c>
      <c r="I430" s="39" t="n">
        <f aca="false">H430*'Assumptions &amp; Data'!G564</f>
        <v>804230.19689292</v>
      </c>
      <c r="J430" s="39" t="n">
        <f aca="false">E430*'Assumptions &amp; Data'!H564</f>
        <v>101336.08</v>
      </c>
      <c r="K430" s="39" t="n">
        <f aca="false">H430*'Assumptions &amp; Data'!I564</f>
        <v>93649.85486028</v>
      </c>
      <c r="L430" s="39" t="n">
        <f aca="false">H430*'Assumptions &amp; Data'!J564</f>
        <v>165094.07403204</v>
      </c>
      <c r="M430" s="39" t="n">
        <f aca="false">I430+J430+K430-L430</f>
        <v>834122.05772116</v>
      </c>
      <c r="N430" s="39" t="n">
        <f aca="false">E430*'Assumptions &amp; Data'!N564</f>
        <v>393519.04</v>
      </c>
      <c r="O430" s="39" t="n">
        <f aca="false">E430*'Assumptions &amp; Data'!O564</f>
        <v>88607.48</v>
      </c>
      <c r="P430" s="39" t="n">
        <f aca="false">H430*'Assumptions &amp; Data'!P564</f>
        <v>48755.85227262</v>
      </c>
      <c r="Q430" s="39" t="n">
        <f aca="false">M430-N430-O430-P430</f>
        <v>303239.68544854</v>
      </c>
      <c r="R430" s="39" t="n">
        <f aca="false">'Assumptions &amp; Data'!L564*'Assumptions &amp; Data'!M564</f>
        <v>355520</v>
      </c>
      <c r="S430" s="37" t="n">
        <f aca="false">'Assumptions &amp; Data'!Q564</f>
        <v>715000</v>
      </c>
      <c r="T430" s="37" t="n">
        <f aca="false">'Assumptions &amp; Data'!R564</f>
        <v>191324</v>
      </c>
      <c r="U430" s="37" t="n">
        <f aca="false">'Assumptions &amp; Data'!S564</f>
        <v>120629</v>
      </c>
      <c r="V430" s="39" t="n">
        <f aca="false">Q430-R430-S430-T430-U430</f>
        <v>-1079233.31455146</v>
      </c>
      <c r="W430" s="39" t="n">
        <f aca="false">DAY(EOMONTH(C430,0))</f>
        <v>30</v>
      </c>
      <c r="X430" s="40" t="n">
        <f aca="false">E430/W430</f>
        <v>273.733333333333</v>
      </c>
      <c r="Y430" s="39" t="n">
        <f aca="false">R430+S430+T430+U430</f>
        <v>1382473</v>
      </c>
    </row>
    <row r="431" customFormat="false" ht="15" hidden="false" customHeight="false" outlineLevel="0" collapsed="false">
      <c r="A431" s="37" t="str">
        <f aca="false">'Assumptions &amp; Data'!A565</f>
        <v>SM0361</v>
      </c>
      <c r="B431" s="37" t="str">
        <f aca="false">'Assumptions &amp; Data'!B565</f>
        <v>DS031</v>
      </c>
      <c r="C431" s="38" t="n">
        <f aca="false">'Assumptions &amp; Data'!C565</f>
        <v>45931</v>
      </c>
      <c r="D431" s="39" t="str">
        <f aca="false">INDEX('Assumptions &amp; Data'!$B$142:$B$201,MATCH(B431,'Assumptions &amp; Data'!$A$142:$A$201,0))</f>
        <v>Bengaluru</v>
      </c>
      <c r="E431" s="37" t="n">
        <f aca="false">'Assumptions &amp; Data'!D565</f>
        <v>37644</v>
      </c>
      <c r="F431" s="39" t="n">
        <f aca="false">E431*'Assumptions &amp; Data'!E565</f>
        <v>24491186.4</v>
      </c>
      <c r="G431" s="39" t="n">
        <f aca="false">F431*'Assumptions &amp; Data'!F565</f>
        <v>1310278.4724</v>
      </c>
      <c r="H431" s="39" t="n">
        <f aca="false">F431-G431</f>
        <v>23180907.9276</v>
      </c>
      <c r="I431" s="39" t="n">
        <f aca="false">H431*'Assumptions &amp; Data'!G565</f>
        <v>3885120.16866576</v>
      </c>
      <c r="J431" s="39" t="n">
        <f aca="false">E431*'Assumptions &amp; Data'!H565</f>
        <v>487866.24</v>
      </c>
      <c r="K431" s="39" t="n">
        <f aca="false">H431*'Assumptions &amp; Data'!I565</f>
        <v>713971.96417008</v>
      </c>
      <c r="L431" s="39" t="n">
        <f aca="false">H431*'Assumptions &amp; Data'!J565</f>
        <v>507661.88361444</v>
      </c>
      <c r="M431" s="39" t="n">
        <f aca="false">I431+J431+K431-L431</f>
        <v>4579296.4892214</v>
      </c>
      <c r="N431" s="39" t="n">
        <f aca="false">E431*'Assumptions &amp; Data'!N565</f>
        <v>1404497.64</v>
      </c>
      <c r="O431" s="39" t="n">
        <f aca="false">E431*'Assumptions &amp; Data'!O565</f>
        <v>395638.44</v>
      </c>
      <c r="P431" s="39" t="n">
        <f aca="false">H431*'Assumptions &amp; Data'!P565</f>
        <v>248035.71482532</v>
      </c>
      <c r="Q431" s="39" t="n">
        <f aca="false">M431-N431-O431-P431</f>
        <v>2531124.69439608</v>
      </c>
      <c r="R431" s="39" t="n">
        <f aca="false">'Assumptions &amp; Data'!L565*'Assumptions &amp; Data'!M565</f>
        <v>704000</v>
      </c>
      <c r="S431" s="37" t="n">
        <f aca="false">'Assumptions &amp; Data'!Q565</f>
        <v>609000</v>
      </c>
      <c r="T431" s="37" t="n">
        <f aca="false">'Assumptions &amp; Data'!R565</f>
        <v>151175</v>
      </c>
      <c r="U431" s="37" t="n">
        <f aca="false">'Assumptions &amp; Data'!S565</f>
        <v>176596</v>
      </c>
      <c r="V431" s="39" t="n">
        <f aca="false">Q431-R431-S431-T431-U431</f>
        <v>890353.69439608</v>
      </c>
      <c r="W431" s="39" t="n">
        <f aca="false">DAY(EOMONTH(C431,0))</f>
        <v>31</v>
      </c>
      <c r="X431" s="40" t="n">
        <f aca="false">E431/W431</f>
        <v>1214.32258064516</v>
      </c>
      <c r="Y431" s="39" t="n">
        <f aca="false">R431+S431+T431+U431</f>
        <v>1640771</v>
      </c>
    </row>
    <row r="432" customFormat="false" ht="15" hidden="false" customHeight="false" outlineLevel="0" collapsed="false">
      <c r="A432" s="37" t="str">
        <f aca="false">'Assumptions &amp; Data'!A566</f>
        <v>SM0362</v>
      </c>
      <c r="B432" s="37" t="str">
        <f aca="false">'Assumptions &amp; Data'!B566</f>
        <v>DS031</v>
      </c>
      <c r="C432" s="38" t="n">
        <f aca="false">'Assumptions &amp; Data'!C566</f>
        <v>45962</v>
      </c>
      <c r="D432" s="39" t="str">
        <f aca="false">INDEX('Assumptions &amp; Data'!$B$142:$B$201,MATCH(B432,'Assumptions &amp; Data'!$A$142:$A$201,0))</f>
        <v>Bengaluru</v>
      </c>
      <c r="E432" s="37" t="n">
        <f aca="false">'Assumptions &amp; Data'!D566</f>
        <v>38498</v>
      </c>
      <c r="F432" s="39" t="n">
        <f aca="false">E432*'Assumptions &amp; Data'!E566</f>
        <v>25847557.2</v>
      </c>
      <c r="G432" s="39" t="n">
        <f aca="false">F432*'Assumptions &amp; Data'!F566</f>
        <v>1307886.39432</v>
      </c>
      <c r="H432" s="39" t="n">
        <f aca="false">F432-G432</f>
        <v>24539670.80568</v>
      </c>
      <c r="I432" s="39" t="n">
        <f aca="false">H432*'Assumptions &amp; Data'!G566</f>
        <v>4152112.30032106</v>
      </c>
      <c r="J432" s="39" t="n">
        <f aca="false">E432*'Assumptions &amp; Data'!H566</f>
        <v>475450.3</v>
      </c>
      <c r="K432" s="39" t="n">
        <f aca="false">H432*'Assumptions &amp; Data'!I566</f>
        <v>841710.708634824</v>
      </c>
      <c r="L432" s="39" t="n">
        <f aca="false">H432*'Assumptions &amp; Data'!J566</f>
        <v>539872.75772496</v>
      </c>
      <c r="M432" s="39" t="n">
        <f aca="false">I432+J432+K432-L432</f>
        <v>4929400.55123092</v>
      </c>
      <c r="N432" s="39" t="n">
        <f aca="false">E432*'Assumptions &amp; Data'!N566</f>
        <v>1421346.16</v>
      </c>
      <c r="O432" s="39" t="n">
        <f aca="false">E432*'Assumptions &amp; Data'!O566</f>
        <v>411158.64</v>
      </c>
      <c r="P432" s="39" t="n">
        <f aca="false">H432*'Assumptions &amp; Data'!P566</f>
        <v>247850.675137368</v>
      </c>
      <c r="Q432" s="39" t="n">
        <f aca="false">M432-N432-O432-P432</f>
        <v>2849045.07609355</v>
      </c>
      <c r="R432" s="39" t="n">
        <f aca="false">'Assumptions &amp; Data'!L566*'Assumptions &amp; Data'!M566</f>
        <v>770700</v>
      </c>
      <c r="S432" s="37" t="n">
        <f aca="false">'Assumptions &amp; Data'!Q566</f>
        <v>609000</v>
      </c>
      <c r="T432" s="37" t="n">
        <f aca="false">'Assumptions &amp; Data'!R566</f>
        <v>145432</v>
      </c>
      <c r="U432" s="37" t="n">
        <f aca="false">'Assumptions &amp; Data'!S566</f>
        <v>181599</v>
      </c>
      <c r="V432" s="39" t="n">
        <f aca="false">Q432-R432-S432-T432-U432</f>
        <v>1142314.07609355</v>
      </c>
      <c r="W432" s="39" t="n">
        <f aca="false">DAY(EOMONTH(C432,0))</f>
        <v>30</v>
      </c>
      <c r="X432" s="40" t="n">
        <f aca="false">E432/W432</f>
        <v>1283.26666666667</v>
      </c>
      <c r="Y432" s="39" t="n">
        <f aca="false">R432+S432+T432+U432</f>
        <v>1706731</v>
      </c>
    </row>
    <row r="433" customFormat="false" ht="15" hidden="false" customHeight="false" outlineLevel="0" collapsed="false">
      <c r="A433" s="37" t="str">
        <f aca="false">'Assumptions &amp; Data'!A567</f>
        <v>SM0363</v>
      </c>
      <c r="B433" s="37" t="str">
        <f aca="false">'Assumptions &amp; Data'!B567</f>
        <v>DS031</v>
      </c>
      <c r="C433" s="38" t="n">
        <f aca="false">'Assumptions &amp; Data'!C567</f>
        <v>45992</v>
      </c>
      <c r="D433" s="39" t="str">
        <f aca="false">INDEX('Assumptions &amp; Data'!$B$142:$B$201,MATCH(B433,'Assumptions &amp; Data'!$A$142:$A$201,0))</f>
        <v>Bengaluru</v>
      </c>
      <c r="E433" s="37" t="n">
        <f aca="false">'Assumptions &amp; Data'!D567</f>
        <v>41782</v>
      </c>
      <c r="F433" s="39" t="n">
        <f aca="false">E433*'Assumptions &amp; Data'!E567</f>
        <v>26966102.8</v>
      </c>
      <c r="G433" s="39" t="n">
        <f aca="false">F433*'Assumptions &amp; Data'!F567</f>
        <v>1383361.07364</v>
      </c>
      <c r="H433" s="39" t="n">
        <f aca="false">F433-G433</f>
        <v>25582741.72636</v>
      </c>
      <c r="I433" s="39" t="n">
        <f aca="false">H433*'Assumptions &amp; Data'!G567</f>
        <v>4341391.27096329</v>
      </c>
      <c r="J433" s="39" t="n">
        <f aca="false">E433*'Assumptions &amp; Data'!H567</f>
        <v>514336.42</v>
      </c>
      <c r="K433" s="39" t="n">
        <f aca="false">H433*'Assumptions &amp; Data'!I567</f>
        <v>795623.267689796</v>
      </c>
      <c r="L433" s="39" t="n">
        <f aca="false">H433*'Assumptions &amp; Data'!J567</f>
        <v>552587.221289376</v>
      </c>
      <c r="M433" s="39" t="n">
        <f aca="false">I433+J433+K433-L433</f>
        <v>5098763.73736371</v>
      </c>
      <c r="N433" s="39" t="n">
        <f aca="false">E433*'Assumptions &amp; Data'!N567</f>
        <v>1594818.94</v>
      </c>
      <c r="O433" s="39" t="n">
        <f aca="false">E433*'Assumptions &amp; Data'!O567</f>
        <v>451663.42</v>
      </c>
      <c r="P433" s="39" t="n">
        <f aca="false">H433*'Assumptions &amp; Data'!P567</f>
        <v>253269.143090964</v>
      </c>
      <c r="Q433" s="39" t="n">
        <f aca="false">M433-N433-O433-P433</f>
        <v>2799012.23427275</v>
      </c>
      <c r="R433" s="39" t="n">
        <f aca="false">'Assumptions &amp; Data'!L567*'Assumptions &amp; Data'!M567</f>
        <v>793440</v>
      </c>
      <c r="S433" s="37" t="n">
        <f aca="false">'Assumptions &amp; Data'!Q567</f>
        <v>609000</v>
      </c>
      <c r="T433" s="37" t="n">
        <f aca="false">'Assumptions &amp; Data'!R567</f>
        <v>159592</v>
      </c>
      <c r="U433" s="37" t="n">
        <f aca="false">'Assumptions &amp; Data'!S567</f>
        <v>210662</v>
      </c>
      <c r="V433" s="39" t="n">
        <f aca="false">Q433-R433-S433-T433-U433</f>
        <v>1026318.23427275</v>
      </c>
      <c r="W433" s="39" t="n">
        <f aca="false">DAY(EOMONTH(C433,0))</f>
        <v>31</v>
      </c>
      <c r="X433" s="40" t="n">
        <f aca="false">E433/W433</f>
        <v>1347.8064516129</v>
      </c>
      <c r="Y433" s="39" t="n">
        <f aca="false">R433+S433+T433+U433</f>
        <v>1772694</v>
      </c>
    </row>
    <row r="434" customFormat="false" ht="15" hidden="false" customHeight="false" outlineLevel="0" collapsed="false">
      <c r="A434" s="37" t="str">
        <f aca="false">'Assumptions &amp; Data'!A568</f>
        <v>SM0364</v>
      </c>
      <c r="B434" s="37" t="str">
        <f aca="false">'Assumptions &amp; Data'!B568</f>
        <v>DS031</v>
      </c>
      <c r="C434" s="38" t="n">
        <f aca="false">'Assumptions &amp; Data'!C568</f>
        <v>46023</v>
      </c>
      <c r="D434" s="39" t="str">
        <f aca="false">INDEX('Assumptions &amp; Data'!$B$142:$B$201,MATCH(B434,'Assumptions &amp; Data'!$A$142:$A$201,0))</f>
        <v>Bengaluru</v>
      </c>
      <c r="E434" s="37" t="n">
        <f aca="false">'Assumptions &amp; Data'!D568</f>
        <v>37307</v>
      </c>
      <c r="F434" s="39" t="n">
        <f aca="false">E434*'Assumptions &amp; Data'!E568</f>
        <v>24973305.8</v>
      </c>
      <c r="G434" s="39" t="n">
        <f aca="false">F434*'Assumptions &amp; Data'!F568</f>
        <v>1188729.35608</v>
      </c>
      <c r="H434" s="39" t="n">
        <f aca="false">F434-G434</f>
        <v>23784576.44392</v>
      </c>
      <c r="I434" s="39" t="n">
        <f aca="false">H434*'Assumptions &amp; Data'!G568</f>
        <v>4005322.67315613</v>
      </c>
      <c r="J434" s="39" t="n">
        <f aca="false">E434*'Assumptions &amp; Data'!H568</f>
        <v>436491.9</v>
      </c>
      <c r="K434" s="39" t="n">
        <f aca="false">H434*'Assumptions &amp; Data'!I568</f>
        <v>680238.886296112</v>
      </c>
      <c r="L434" s="39" t="n">
        <f aca="false">H434*'Assumptions &amp; Data'!J568</f>
        <v>535152.9699882</v>
      </c>
      <c r="M434" s="39" t="n">
        <f aca="false">I434+J434+K434-L434</f>
        <v>4586900.48946404</v>
      </c>
      <c r="N434" s="39" t="n">
        <f aca="false">E434*'Assumptions &amp; Data'!N568</f>
        <v>1385955.05</v>
      </c>
      <c r="O434" s="39" t="n">
        <f aca="false">E434*'Assumptions &amp; Data'!O568</f>
        <v>386500.52</v>
      </c>
      <c r="P434" s="39" t="n">
        <f aca="false">H434*'Assumptions &amp; Data'!P568</f>
        <v>237845.7644392</v>
      </c>
      <c r="Q434" s="39" t="n">
        <f aca="false">M434-N434-O434-P434</f>
        <v>2576599.15502484</v>
      </c>
      <c r="R434" s="39" t="n">
        <f aca="false">'Assumptions &amp; Data'!L568*'Assumptions &amp; Data'!M568</f>
        <v>727980</v>
      </c>
      <c r="S434" s="37" t="n">
        <f aca="false">'Assumptions &amp; Data'!Q568</f>
        <v>609000</v>
      </c>
      <c r="T434" s="37" t="n">
        <f aca="false">'Assumptions &amp; Data'!R568</f>
        <v>153093</v>
      </c>
      <c r="U434" s="37" t="n">
        <f aca="false">'Assumptions &amp; Data'!S568</f>
        <v>185011</v>
      </c>
      <c r="V434" s="39" t="n">
        <f aca="false">Q434-R434-S434-T434-U434</f>
        <v>901515.155024841</v>
      </c>
      <c r="W434" s="39" t="n">
        <f aca="false">DAY(EOMONTH(C434,0))</f>
        <v>31</v>
      </c>
      <c r="X434" s="40" t="n">
        <f aca="false">E434/W434</f>
        <v>1203.45161290323</v>
      </c>
      <c r="Y434" s="39" t="n">
        <f aca="false">R434+S434+T434+U434</f>
        <v>1675084</v>
      </c>
    </row>
    <row r="435" customFormat="false" ht="15" hidden="false" customHeight="false" outlineLevel="0" collapsed="false">
      <c r="A435" s="37" t="str">
        <f aca="false">'Assumptions &amp; Data'!A569</f>
        <v>SM0365</v>
      </c>
      <c r="B435" s="37" t="str">
        <f aca="false">'Assumptions &amp; Data'!B569</f>
        <v>DS031</v>
      </c>
      <c r="C435" s="38" t="n">
        <f aca="false">'Assumptions &amp; Data'!C569</f>
        <v>46054</v>
      </c>
      <c r="D435" s="39" t="str">
        <f aca="false">INDEX('Assumptions &amp; Data'!$B$142:$B$201,MATCH(B435,'Assumptions &amp; Data'!$A$142:$A$201,0))</f>
        <v>Bengaluru</v>
      </c>
      <c r="E435" s="37" t="n">
        <f aca="false">'Assumptions &amp; Data'!D569</f>
        <v>35747</v>
      </c>
      <c r="F435" s="39" t="n">
        <f aca="false">E435*'Assumptions &amp; Data'!E569</f>
        <v>23843249</v>
      </c>
      <c r="G435" s="39" t="n">
        <f aca="false">F435*'Assumptions &amp; Data'!F569</f>
        <v>1277998.1464</v>
      </c>
      <c r="H435" s="39" t="n">
        <f aca="false">F435-G435</f>
        <v>22565250.8536</v>
      </c>
      <c r="I435" s="39" t="n">
        <f aca="false">H435*'Assumptions &amp; Data'!G569</f>
        <v>3865427.47122168</v>
      </c>
      <c r="J435" s="39" t="n">
        <f aca="false">E435*'Assumptions &amp; Data'!H569</f>
        <v>419669.78</v>
      </c>
      <c r="K435" s="39" t="n">
        <f aca="false">H435*'Assumptions &amp; Data'!I569</f>
        <v>692753.20120552</v>
      </c>
      <c r="L435" s="39" t="n">
        <f aca="false">H435*'Assumptions &amp; Data'!J569</f>
        <v>523513.81980352</v>
      </c>
      <c r="M435" s="39" t="n">
        <f aca="false">I435+J435+K435-L435</f>
        <v>4454336.63262368</v>
      </c>
      <c r="N435" s="39" t="n">
        <f aca="false">E435*'Assumptions &amp; Data'!N569</f>
        <v>1344802.14</v>
      </c>
      <c r="O435" s="39" t="n">
        <f aca="false">E435*'Assumptions &amp; Data'!O569</f>
        <v>382850.37</v>
      </c>
      <c r="P435" s="39" t="n">
        <f aca="false">H435*'Assumptions &amp; Data'!P569</f>
        <v>216626.40819456</v>
      </c>
      <c r="Q435" s="39" t="n">
        <f aca="false">M435-N435-O435-P435</f>
        <v>2510057.71442912</v>
      </c>
      <c r="R435" s="39" t="n">
        <f aca="false">'Assumptions &amp; Data'!L569*'Assumptions &amp; Data'!M569</f>
        <v>750720</v>
      </c>
      <c r="S435" s="37" t="n">
        <f aca="false">'Assumptions &amp; Data'!Q569</f>
        <v>609000</v>
      </c>
      <c r="T435" s="37" t="n">
        <f aca="false">'Assumptions &amp; Data'!R569</f>
        <v>151771</v>
      </c>
      <c r="U435" s="37" t="n">
        <f aca="false">'Assumptions &amp; Data'!S569</f>
        <v>167728</v>
      </c>
      <c r="V435" s="39" t="n">
        <f aca="false">Q435-R435-S435-T435-U435</f>
        <v>830838.71442912</v>
      </c>
      <c r="W435" s="39" t="n">
        <f aca="false">DAY(EOMONTH(C435,0))</f>
        <v>28</v>
      </c>
      <c r="X435" s="40" t="n">
        <f aca="false">E435/W435</f>
        <v>1276.67857142857</v>
      </c>
      <c r="Y435" s="39" t="n">
        <f aca="false">R435+S435+T435+U435</f>
        <v>1679219</v>
      </c>
    </row>
    <row r="436" customFormat="false" ht="15" hidden="false" customHeight="false" outlineLevel="0" collapsed="false">
      <c r="A436" s="37" t="str">
        <f aca="false">'Assumptions &amp; Data'!A570</f>
        <v>SM0366</v>
      </c>
      <c r="B436" s="37" t="str">
        <f aca="false">'Assumptions &amp; Data'!B570</f>
        <v>DS031</v>
      </c>
      <c r="C436" s="38" t="n">
        <f aca="false">'Assumptions &amp; Data'!C570</f>
        <v>46082</v>
      </c>
      <c r="D436" s="39" t="str">
        <f aca="false">INDEX('Assumptions &amp; Data'!$B$142:$B$201,MATCH(B436,'Assumptions &amp; Data'!$A$142:$A$201,0))</f>
        <v>Bengaluru</v>
      </c>
      <c r="E436" s="37" t="n">
        <f aca="false">'Assumptions &amp; Data'!D570</f>
        <v>39055</v>
      </c>
      <c r="F436" s="39" t="n">
        <f aca="false">E436*'Assumptions &amp; Data'!E570</f>
        <v>25893465</v>
      </c>
      <c r="G436" s="39" t="n">
        <f aca="false">F436*'Assumptions &amp; Data'!F570</f>
        <v>1279137.171</v>
      </c>
      <c r="H436" s="39" t="n">
        <f aca="false">F436-G436</f>
        <v>24614327.829</v>
      </c>
      <c r="I436" s="39" t="n">
        <f aca="false">H436*'Assumptions &amp; Data'!G570</f>
        <v>4268124.4455486</v>
      </c>
      <c r="J436" s="39" t="n">
        <f aca="false">E436*'Assumptions &amp; Data'!H570</f>
        <v>475689.9</v>
      </c>
      <c r="K436" s="39" t="n">
        <f aca="false">H436*'Assumptions &amp; Data'!I570</f>
        <v>790119.9233109</v>
      </c>
      <c r="L436" s="39" t="n">
        <f aca="false">H436*'Assumptions &amp; Data'!J570</f>
        <v>556283.8089354</v>
      </c>
      <c r="M436" s="39" t="n">
        <f aca="false">I436+J436+K436-L436</f>
        <v>4977650.4599241</v>
      </c>
      <c r="N436" s="39" t="n">
        <f aca="false">E436*'Assumptions &amp; Data'!N570</f>
        <v>1474326.25</v>
      </c>
      <c r="O436" s="39" t="n">
        <f aca="false">E436*'Assumptions &amp; Data'!O570</f>
        <v>407734.2</v>
      </c>
      <c r="P436" s="39" t="n">
        <f aca="false">H436*'Assumptions &amp; Data'!P570</f>
        <v>251066.1438558</v>
      </c>
      <c r="Q436" s="39" t="n">
        <f aca="false">M436-N436-O436-P436</f>
        <v>2844523.8660683</v>
      </c>
      <c r="R436" s="39" t="n">
        <f aca="false">'Assumptions &amp; Data'!L570*'Assumptions &amp; Data'!M570</f>
        <v>751400</v>
      </c>
      <c r="S436" s="37" t="n">
        <f aca="false">'Assumptions &amp; Data'!Q570</f>
        <v>609000</v>
      </c>
      <c r="T436" s="37" t="n">
        <f aca="false">'Assumptions &amp; Data'!R570</f>
        <v>147145</v>
      </c>
      <c r="U436" s="37" t="n">
        <f aca="false">'Assumptions &amp; Data'!S570</f>
        <v>169399</v>
      </c>
      <c r="V436" s="39" t="n">
        <f aca="false">Q436-R436-S436-T436-U436</f>
        <v>1167579.8660683</v>
      </c>
      <c r="W436" s="39" t="n">
        <f aca="false">DAY(EOMONTH(C436,0))</f>
        <v>31</v>
      </c>
      <c r="X436" s="40" t="n">
        <f aca="false">E436/W436</f>
        <v>1259.83870967742</v>
      </c>
      <c r="Y436" s="39" t="n">
        <f aca="false">R436+S436+T436+U436</f>
        <v>1676944</v>
      </c>
    </row>
    <row r="437" customFormat="false" ht="15" hidden="false" customHeight="false" outlineLevel="0" collapsed="false">
      <c r="A437" s="37" t="str">
        <f aca="false">'Assumptions &amp; Data'!A571</f>
        <v>SM0367</v>
      </c>
      <c r="B437" s="37" t="str">
        <f aca="false">'Assumptions &amp; Data'!B571</f>
        <v>DS031</v>
      </c>
      <c r="C437" s="38" t="n">
        <f aca="false">'Assumptions &amp; Data'!C571</f>
        <v>46113</v>
      </c>
      <c r="D437" s="39" t="str">
        <f aca="false">INDEX('Assumptions &amp; Data'!$B$142:$B$201,MATCH(B437,'Assumptions &amp; Data'!$A$142:$A$201,0))</f>
        <v>Bengaluru</v>
      </c>
      <c r="E437" s="37" t="n">
        <f aca="false">'Assumptions &amp; Data'!D571</f>
        <v>40888</v>
      </c>
      <c r="F437" s="39" t="n">
        <f aca="false">E437*'Assumptions &amp; Data'!E571</f>
        <v>26810261.6</v>
      </c>
      <c r="G437" s="39" t="n">
        <f aca="false">F437*'Assumptions &amp; Data'!F571</f>
        <v>1302978.71376</v>
      </c>
      <c r="H437" s="39" t="n">
        <f aca="false">F437-G437</f>
        <v>25507282.88624</v>
      </c>
      <c r="I437" s="39" t="n">
        <f aca="false">H437*'Assumptions &amp; Data'!G571</f>
        <v>4326035.1775063</v>
      </c>
      <c r="J437" s="39" t="n">
        <f aca="false">E437*'Assumptions &amp; Data'!H571</f>
        <v>525001.92</v>
      </c>
      <c r="K437" s="39" t="n">
        <f aca="false">H437*'Assumptions &amp; Data'!I571</f>
        <v>849392.520111792</v>
      </c>
      <c r="L437" s="39" t="n">
        <f aca="false">H437*'Assumptions &amp; Data'!J571</f>
        <v>571363.136651776</v>
      </c>
      <c r="M437" s="39" t="n">
        <f aca="false">I437+J437+K437-L437</f>
        <v>5129066.48096632</v>
      </c>
      <c r="N437" s="39" t="n">
        <f aca="false">E437*'Assumptions &amp; Data'!N571</f>
        <v>1551290.72</v>
      </c>
      <c r="O437" s="39" t="n">
        <f aca="false">E437*'Assumptions &amp; Data'!O571</f>
        <v>437501.6</v>
      </c>
      <c r="P437" s="39" t="n">
        <f aca="false">H437*'Assumptions &amp; Data'!P571</f>
        <v>272927.926882768</v>
      </c>
      <c r="Q437" s="39" t="n">
        <f aca="false">M437-N437-O437-P437</f>
        <v>2867346.23408355</v>
      </c>
      <c r="R437" s="39" t="n">
        <f aca="false">'Assumptions &amp; Data'!L571*'Assumptions &amp; Data'!M571</f>
        <v>796320</v>
      </c>
      <c r="S437" s="37" t="n">
        <f aca="false">'Assumptions &amp; Data'!Q571</f>
        <v>609000</v>
      </c>
      <c r="T437" s="37" t="n">
        <f aca="false">'Assumptions &amp; Data'!R571</f>
        <v>152071</v>
      </c>
      <c r="U437" s="37" t="n">
        <f aca="false">'Assumptions &amp; Data'!S571</f>
        <v>172100</v>
      </c>
      <c r="V437" s="39" t="n">
        <f aca="false">Q437-R437-S437-T437-U437</f>
        <v>1137855.23408355</v>
      </c>
      <c r="W437" s="39" t="n">
        <f aca="false">DAY(EOMONTH(C437,0))</f>
        <v>30</v>
      </c>
      <c r="X437" s="40" t="n">
        <f aca="false">E437/W437</f>
        <v>1362.93333333333</v>
      </c>
      <c r="Y437" s="39" t="n">
        <f aca="false">R437+S437+T437+U437</f>
        <v>1729491</v>
      </c>
    </row>
    <row r="438" customFormat="false" ht="15" hidden="false" customHeight="false" outlineLevel="0" collapsed="false">
      <c r="A438" s="37" t="str">
        <f aca="false">'Assumptions &amp; Data'!A572</f>
        <v>SM0368</v>
      </c>
      <c r="B438" s="37" t="str">
        <f aca="false">'Assumptions &amp; Data'!B572</f>
        <v>DS031</v>
      </c>
      <c r="C438" s="38" t="n">
        <f aca="false">'Assumptions &amp; Data'!C572</f>
        <v>46143</v>
      </c>
      <c r="D438" s="39" t="str">
        <f aca="false">INDEX('Assumptions &amp; Data'!$B$142:$B$201,MATCH(B438,'Assumptions &amp; Data'!$A$142:$A$201,0))</f>
        <v>Bengaluru</v>
      </c>
      <c r="E438" s="37" t="n">
        <f aca="false">'Assumptions &amp; Data'!D572</f>
        <v>41949</v>
      </c>
      <c r="F438" s="39" t="n">
        <f aca="false">E438*'Assumptions &amp; Data'!E572</f>
        <v>28588243.5</v>
      </c>
      <c r="G438" s="39" t="n">
        <f aca="false">F438*'Assumptions &amp; Data'!F572</f>
        <v>1529471.02725</v>
      </c>
      <c r="H438" s="39" t="n">
        <f aca="false">F438-G438</f>
        <v>27058772.47275</v>
      </c>
      <c r="I438" s="39" t="n">
        <f aca="false">H438*'Assumptions &amp; Data'!G572</f>
        <v>4475520.96699285</v>
      </c>
      <c r="J438" s="39" t="n">
        <f aca="false">E438*'Assumptions &amp; Data'!H572</f>
        <v>534010.77</v>
      </c>
      <c r="K438" s="39" t="n">
        <f aca="false">H438*'Assumptions &amp; Data'!I572</f>
        <v>876704.2281171</v>
      </c>
      <c r="L438" s="39" t="n">
        <f aca="false">H438*'Assumptions &amp; Data'!J572</f>
        <v>625057.644120525</v>
      </c>
      <c r="M438" s="39" t="n">
        <f aca="false">I438+J438+K438-L438</f>
        <v>5261178.32098942</v>
      </c>
      <c r="N438" s="39" t="n">
        <f aca="false">E438*'Assumptions &amp; Data'!N572</f>
        <v>1580218.83</v>
      </c>
      <c r="O438" s="39" t="n">
        <f aca="false">E438*'Assumptions &amp; Data'!O572</f>
        <v>440883.99</v>
      </c>
      <c r="P438" s="39" t="n">
        <f aca="false">H438*'Assumptions &amp; Data'!P572</f>
        <v>281411.2337166</v>
      </c>
      <c r="Q438" s="39" t="n">
        <f aca="false">M438-N438-O438-P438</f>
        <v>2958664.26727282</v>
      </c>
      <c r="R438" s="39" t="n">
        <f aca="false">'Assumptions &amp; Data'!L572*'Assumptions &amp; Data'!M572</f>
        <v>797040</v>
      </c>
      <c r="S438" s="37" t="n">
        <f aca="false">'Assumptions &amp; Data'!Q572</f>
        <v>609000</v>
      </c>
      <c r="T438" s="37" t="n">
        <f aca="false">'Assumptions &amp; Data'!R572</f>
        <v>154500</v>
      </c>
      <c r="U438" s="37" t="n">
        <f aca="false">'Assumptions &amp; Data'!S572</f>
        <v>198472</v>
      </c>
      <c r="V438" s="39" t="n">
        <f aca="false">Q438-R438-S438-T438-U438</f>
        <v>1199652.26727282</v>
      </c>
      <c r="W438" s="39" t="n">
        <f aca="false">DAY(EOMONTH(C438,0))</f>
        <v>31</v>
      </c>
      <c r="X438" s="40" t="n">
        <f aca="false">E438/W438</f>
        <v>1353.1935483871</v>
      </c>
      <c r="Y438" s="39" t="n">
        <f aca="false">R438+S438+T438+U438</f>
        <v>1759012</v>
      </c>
    </row>
    <row r="439" customFormat="false" ht="15" hidden="false" customHeight="false" outlineLevel="0" collapsed="false">
      <c r="A439" s="37" t="str">
        <f aca="false">'Assumptions &amp; Data'!A573</f>
        <v>SM0369</v>
      </c>
      <c r="B439" s="37" t="str">
        <f aca="false">'Assumptions &amp; Data'!B573</f>
        <v>DS031</v>
      </c>
      <c r="C439" s="38" t="n">
        <f aca="false">'Assumptions &amp; Data'!C573</f>
        <v>46174</v>
      </c>
      <c r="D439" s="39" t="str">
        <f aca="false">INDEX('Assumptions &amp; Data'!$B$142:$B$201,MATCH(B439,'Assumptions &amp; Data'!$A$142:$A$201,0))</f>
        <v>Bengaluru</v>
      </c>
      <c r="E439" s="37" t="n">
        <f aca="false">'Assumptions &amp; Data'!D573</f>
        <v>40582</v>
      </c>
      <c r="F439" s="39" t="n">
        <f aca="false">E439*'Assumptions &amp; Data'!E573</f>
        <v>27303569.6</v>
      </c>
      <c r="G439" s="39" t="n">
        <f aca="false">F439*'Assumptions &amp; Data'!F573</f>
        <v>1452549.90272</v>
      </c>
      <c r="H439" s="39" t="n">
        <f aca="false">F439-G439</f>
        <v>25851019.69728</v>
      </c>
      <c r="I439" s="39" t="n">
        <f aca="false">H439*'Assumptions &amp; Data'!G573</f>
        <v>4355896.81899168</v>
      </c>
      <c r="J439" s="39" t="n">
        <f aca="false">E439*'Assumptions &amp; Data'!H573</f>
        <v>478055.96</v>
      </c>
      <c r="K439" s="39" t="n">
        <f aca="false">H439*'Assumptions &amp; Data'!I573</f>
        <v>840158.1401616</v>
      </c>
      <c r="L439" s="39" t="n">
        <f aca="false">H439*'Assumptions &amp; Data'!J573</f>
        <v>532531.005763968</v>
      </c>
      <c r="M439" s="39" t="n">
        <f aca="false">I439+J439+K439-L439</f>
        <v>5141579.91338931</v>
      </c>
      <c r="N439" s="39" t="n">
        <f aca="false">E439*'Assumptions &amp; Data'!N573</f>
        <v>1537246.16</v>
      </c>
      <c r="O439" s="39" t="n">
        <f aca="false">E439*'Assumptions &amp; Data'!O573</f>
        <v>422458.62</v>
      </c>
      <c r="P439" s="39" t="n">
        <f aca="false">H439*'Assumptions &amp; Data'!P573</f>
        <v>258510.1969728</v>
      </c>
      <c r="Q439" s="39" t="n">
        <f aca="false">M439-N439-O439-P439</f>
        <v>2923364.93641651</v>
      </c>
      <c r="R439" s="39" t="n">
        <f aca="false">'Assumptions &amp; Data'!L573*'Assumptions &amp; Data'!M573</f>
        <v>775600</v>
      </c>
      <c r="S439" s="37" t="n">
        <f aca="false">'Assumptions &amp; Data'!Q573</f>
        <v>609000</v>
      </c>
      <c r="T439" s="37" t="n">
        <f aca="false">'Assumptions &amp; Data'!R573</f>
        <v>147653</v>
      </c>
      <c r="U439" s="37" t="n">
        <f aca="false">'Assumptions &amp; Data'!S573</f>
        <v>175528</v>
      </c>
      <c r="V439" s="39" t="n">
        <f aca="false">Q439-R439-S439-T439-U439</f>
        <v>1215583.93641651</v>
      </c>
      <c r="W439" s="39" t="n">
        <f aca="false">DAY(EOMONTH(C439,0))</f>
        <v>30</v>
      </c>
      <c r="X439" s="40" t="n">
        <f aca="false">E439/W439</f>
        <v>1352.73333333333</v>
      </c>
      <c r="Y439" s="39" t="n">
        <f aca="false">R439+S439+T439+U439</f>
        <v>1707781</v>
      </c>
    </row>
    <row r="440" customFormat="false" ht="15" hidden="false" customHeight="false" outlineLevel="0" collapsed="false">
      <c r="A440" s="37" t="str">
        <f aca="false">'Assumptions &amp; Data'!A574</f>
        <v>SM0370</v>
      </c>
      <c r="B440" s="37" t="str">
        <f aca="false">'Assumptions &amp; Data'!B574</f>
        <v>DS031</v>
      </c>
      <c r="C440" s="38" t="n">
        <f aca="false">'Assumptions &amp; Data'!C574</f>
        <v>46204</v>
      </c>
      <c r="D440" s="39" t="str">
        <f aca="false">INDEX('Assumptions &amp; Data'!$B$142:$B$201,MATCH(B440,'Assumptions &amp; Data'!$A$142:$A$201,0))</f>
        <v>Bengaluru</v>
      </c>
      <c r="E440" s="37" t="n">
        <f aca="false">'Assumptions &amp; Data'!D574</f>
        <v>40100</v>
      </c>
      <c r="F440" s="39" t="n">
        <f aca="false">E440*'Assumptions &amp; Data'!E574</f>
        <v>26221390</v>
      </c>
      <c r="G440" s="39" t="n">
        <f aca="false">F440*'Assumptions &amp; Data'!F574</f>
        <v>1318935.917</v>
      </c>
      <c r="H440" s="39" t="n">
        <f aca="false">F440-G440</f>
        <v>24902454.083</v>
      </c>
      <c r="I440" s="39" t="n">
        <f aca="false">H440*'Assumptions &amp; Data'!G574</f>
        <v>4208514.740027</v>
      </c>
      <c r="J440" s="39" t="n">
        <f aca="false">E440*'Assumptions &amp; Data'!H574</f>
        <v>501651</v>
      </c>
      <c r="K440" s="39" t="n">
        <f aca="false">H440*'Assumptions &amp; Data'!I574</f>
        <v>816800.4939224</v>
      </c>
      <c r="L440" s="39" t="n">
        <f aca="false">H440*'Assumptions &amp; Data'!J574</f>
        <v>560305.2168675</v>
      </c>
      <c r="M440" s="39" t="n">
        <f aca="false">I440+J440+K440-L440</f>
        <v>4966661.0170819</v>
      </c>
      <c r="N440" s="39" t="n">
        <f aca="false">E440*'Assumptions &amp; Data'!N574</f>
        <v>1483299</v>
      </c>
      <c r="O440" s="39" t="n">
        <f aca="false">E440*'Assumptions &amp; Data'!O574</f>
        <v>433080</v>
      </c>
      <c r="P440" s="39" t="n">
        <f aca="false">H440*'Assumptions &amp; Data'!P574</f>
        <v>251514.7862383</v>
      </c>
      <c r="Q440" s="39" t="n">
        <f aca="false">M440-N440-O440-P440</f>
        <v>2798767.2308436</v>
      </c>
      <c r="R440" s="39" t="n">
        <f aca="false">'Assumptions &amp; Data'!L574*'Assumptions &amp; Data'!M574</f>
        <v>776300</v>
      </c>
      <c r="S440" s="37" t="n">
        <f aca="false">'Assumptions &amp; Data'!Q574</f>
        <v>609000</v>
      </c>
      <c r="T440" s="37" t="n">
        <f aca="false">'Assumptions &amp; Data'!R574</f>
        <v>141756</v>
      </c>
      <c r="U440" s="37" t="n">
        <f aca="false">'Assumptions &amp; Data'!S574</f>
        <v>170211</v>
      </c>
      <c r="V440" s="39" t="n">
        <f aca="false">Q440-R440-S440-T440-U440</f>
        <v>1101500.2308436</v>
      </c>
      <c r="W440" s="39" t="n">
        <f aca="false">DAY(EOMONTH(C440,0))</f>
        <v>31</v>
      </c>
      <c r="X440" s="40" t="n">
        <f aca="false">E440/W440</f>
        <v>1293.54838709677</v>
      </c>
      <c r="Y440" s="39" t="n">
        <f aca="false">R440+S440+T440+U440</f>
        <v>1697267</v>
      </c>
    </row>
    <row r="441" customFormat="false" ht="15" hidden="false" customHeight="false" outlineLevel="0" collapsed="false">
      <c r="A441" s="37" t="str">
        <f aca="false">'Assumptions &amp; Data'!A575</f>
        <v>SM0371</v>
      </c>
      <c r="B441" s="37" t="str">
        <f aca="false">'Assumptions &amp; Data'!B575</f>
        <v>DS031</v>
      </c>
      <c r="C441" s="38" t="n">
        <f aca="false">'Assumptions &amp; Data'!C575</f>
        <v>46235</v>
      </c>
      <c r="D441" s="39" t="str">
        <f aca="false">INDEX('Assumptions &amp; Data'!$B$142:$B$201,MATCH(B441,'Assumptions &amp; Data'!$A$142:$A$201,0))</f>
        <v>Bengaluru</v>
      </c>
      <c r="E441" s="37" t="n">
        <f aca="false">'Assumptions &amp; Data'!D575</f>
        <v>38924</v>
      </c>
      <c r="F441" s="39" t="n">
        <f aca="false">E441*'Assumptions &amp; Data'!E575</f>
        <v>25794934.8</v>
      </c>
      <c r="G441" s="39" t="n">
        <f aca="false">F441*'Assumptions &amp; Data'!F575</f>
        <v>1331018.63568</v>
      </c>
      <c r="H441" s="39" t="n">
        <f aca="false">F441-G441</f>
        <v>24463916.16432</v>
      </c>
      <c r="I441" s="39" t="n">
        <f aca="false">H441*'Assumptions &amp; Data'!G575</f>
        <v>4151526.5730851</v>
      </c>
      <c r="J441" s="39" t="n">
        <f aca="false">E441*'Assumptions &amp; Data'!H575</f>
        <v>459303.2</v>
      </c>
      <c r="K441" s="39" t="n">
        <f aca="false">H441*'Assumptions &amp; Data'!I575</f>
        <v>736363.876546032</v>
      </c>
      <c r="L441" s="39" t="n">
        <f aca="false">H441*'Assumptions &amp; Data'!J575</f>
        <v>567562.855012224</v>
      </c>
      <c r="M441" s="39" t="n">
        <f aca="false">I441+J441+K441-L441</f>
        <v>4779630.79461891</v>
      </c>
      <c r="N441" s="39" t="n">
        <f aca="false">E441*'Assumptions &amp; Data'!N575</f>
        <v>1486896.8</v>
      </c>
      <c r="O441" s="39" t="n">
        <f aca="false">E441*'Assumptions &amp; Data'!O575</f>
        <v>407145.04</v>
      </c>
      <c r="P441" s="39" t="n">
        <f aca="false">H441*'Assumptions &amp; Data'!P575</f>
        <v>239746.378410336</v>
      </c>
      <c r="Q441" s="39" t="n">
        <f aca="false">M441-N441-O441-P441</f>
        <v>2645842.57620858</v>
      </c>
      <c r="R441" s="39" t="n">
        <f aca="false">'Assumptions &amp; Data'!L575*'Assumptions &amp; Data'!M575</f>
        <v>732600</v>
      </c>
      <c r="S441" s="37" t="n">
        <f aca="false">'Assumptions &amp; Data'!Q575</f>
        <v>609000</v>
      </c>
      <c r="T441" s="37" t="n">
        <f aca="false">'Assumptions &amp; Data'!R575</f>
        <v>161573</v>
      </c>
      <c r="U441" s="37" t="n">
        <f aca="false">'Assumptions &amp; Data'!S575</f>
        <v>178697</v>
      </c>
      <c r="V441" s="39" t="n">
        <f aca="false">Q441-R441-S441-T441-U441</f>
        <v>963972.576208575</v>
      </c>
      <c r="W441" s="39" t="n">
        <f aca="false">DAY(EOMONTH(C441,0))</f>
        <v>31</v>
      </c>
      <c r="X441" s="40" t="n">
        <f aca="false">E441/W441</f>
        <v>1255.61290322581</v>
      </c>
      <c r="Y441" s="39" t="n">
        <f aca="false">R441+S441+T441+U441</f>
        <v>1681870</v>
      </c>
    </row>
    <row r="442" customFormat="false" ht="15" hidden="false" customHeight="false" outlineLevel="0" collapsed="false">
      <c r="A442" s="37" t="str">
        <f aca="false">'Assumptions &amp; Data'!A576</f>
        <v>SM0372</v>
      </c>
      <c r="B442" s="37" t="str">
        <f aca="false">'Assumptions &amp; Data'!B576</f>
        <v>DS031</v>
      </c>
      <c r="C442" s="38" t="n">
        <f aca="false">'Assumptions &amp; Data'!C576</f>
        <v>46266</v>
      </c>
      <c r="D442" s="39" t="str">
        <f aca="false">INDEX('Assumptions &amp; Data'!$B$142:$B$201,MATCH(B442,'Assumptions &amp; Data'!$A$142:$A$201,0))</f>
        <v>Bengaluru</v>
      </c>
      <c r="E442" s="37" t="n">
        <f aca="false">'Assumptions &amp; Data'!D576</f>
        <v>40269</v>
      </c>
      <c r="F442" s="39" t="n">
        <f aca="false">E442*'Assumptions &amp; Data'!E576</f>
        <v>26601701.4</v>
      </c>
      <c r="G442" s="39" t="n">
        <f aca="false">F442*'Assumptions &amp; Data'!F576</f>
        <v>1367327.45196</v>
      </c>
      <c r="H442" s="39" t="n">
        <f aca="false">F442-G442</f>
        <v>25234373.94804</v>
      </c>
      <c r="I442" s="39" t="n">
        <f aca="false">H442*'Assumptions &amp; Data'!G576</f>
        <v>4178812.32579542</v>
      </c>
      <c r="J442" s="39" t="n">
        <f aca="false">E442*'Assumptions &amp; Data'!H576</f>
        <v>502557.12</v>
      </c>
      <c r="K442" s="39" t="n">
        <f aca="false">H442*'Assumptions &amp; Data'!I576</f>
        <v>779742.154994436</v>
      </c>
      <c r="L442" s="39" t="n">
        <f aca="false">H442*'Assumptions &amp; Data'!J576</f>
        <v>562726.539041292</v>
      </c>
      <c r="M442" s="39" t="n">
        <f aca="false">I442+J442+K442-L442</f>
        <v>4898385.06174857</v>
      </c>
      <c r="N442" s="39" t="n">
        <f aca="false">E442*'Assumptions &amp; Data'!N576</f>
        <v>1525389.72</v>
      </c>
      <c r="O442" s="39" t="n">
        <f aca="false">E442*'Assumptions &amp; Data'!O576</f>
        <v>425240.64</v>
      </c>
      <c r="P442" s="39" t="n">
        <f aca="false">H442*'Assumptions &amp; Data'!P576</f>
        <v>259914.051664812</v>
      </c>
      <c r="Q442" s="39" t="n">
        <f aca="false">M442-N442-O442-P442</f>
        <v>2687840.65008376</v>
      </c>
      <c r="R442" s="39" t="n">
        <f aca="false">'Assumptions &amp; Data'!L576*'Assumptions &amp; Data'!M576</f>
        <v>777700</v>
      </c>
      <c r="S442" s="37" t="n">
        <f aca="false">'Assumptions &amp; Data'!Q576</f>
        <v>609000</v>
      </c>
      <c r="T442" s="37" t="n">
        <f aca="false">'Assumptions &amp; Data'!R576</f>
        <v>148028</v>
      </c>
      <c r="U442" s="37" t="n">
        <f aca="false">'Assumptions &amp; Data'!S576</f>
        <v>168625</v>
      </c>
      <c r="V442" s="39" t="n">
        <f aca="false">Q442-R442-S442-T442-U442</f>
        <v>984487.650083756</v>
      </c>
      <c r="W442" s="39" t="n">
        <f aca="false">DAY(EOMONTH(C442,0))</f>
        <v>30</v>
      </c>
      <c r="X442" s="40" t="n">
        <f aca="false">E442/W442</f>
        <v>1342.3</v>
      </c>
      <c r="Y442" s="39" t="n">
        <f aca="false">R442+S442+T442+U442</f>
        <v>1703353</v>
      </c>
    </row>
    <row r="443" customFormat="false" ht="15" hidden="false" customHeight="false" outlineLevel="0" collapsed="false">
      <c r="A443" s="37" t="str">
        <f aca="false">'Assumptions &amp; Data'!A577</f>
        <v>SM0373</v>
      </c>
      <c r="B443" s="37" t="str">
        <f aca="false">'Assumptions &amp; Data'!B577</f>
        <v>DS032</v>
      </c>
      <c r="C443" s="38" t="n">
        <f aca="false">'Assumptions &amp; Data'!C577</f>
        <v>45931</v>
      </c>
      <c r="D443" s="39" t="str">
        <f aca="false">INDEX('Assumptions &amp; Data'!$B$142:$B$201,MATCH(B443,'Assumptions &amp; Data'!$A$142:$A$201,0))</f>
        <v>Bengaluru</v>
      </c>
      <c r="E443" s="37" t="n">
        <f aca="false">'Assumptions &amp; Data'!D577</f>
        <v>36231</v>
      </c>
      <c r="F443" s="39" t="n">
        <f aca="false">E443*'Assumptions &amp; Data'!E577</f>
        <v>25745748.6</v>
      </c>
      <c r="G443" s="39" t="n">
        <f aca="false">F443*'Assumptions &amp; Data'!F577</f>
        <v>1742987.18022</v>
      </c>
      <c r="H443" s="39" t="n">
        <f aca="false">F443-G443</f>
        <v>24002761.41978</v>
      </c>
      <c r="I443" s="39" t="n">
        <f aca="false">H443*'Assumptions &amp; Data'!G577</f>
        <v>3938853.1489859</v>
      </c>
      <c r="J443" s="39" t="n">
        <f aca="false">E443*'Assumptions &amp; Data'!H577</f>
        <v>440568.96</v>
      </c>
      <c r="K443" s="39" t="n">
        <f aca="false">H443*'Assumptions &amp; Data'!I577</f>
        <v>710481.738025488</v>
      </c>
      <c r="L443" s="39" t="n">
        <f aca="false">H443*'Assumptions &amp; Data'!J577</f>
        <v>813693.612130542</v>
      </c>
      <c r="M443" s="39" t="n">
        <f aca="false">I443+J443+K443-L443</f>
        <v>4276210.23488084</v>
      </c>
      <c r="N443" s="39" t="n">
        <f aca="false">E443*'Assumptions &amp; Data'!N577</f>
        <v>1303591.38</v>
      </c>
      <c r="O443" s="39" t="n">
        <f aca="false">E443*'Assumptions &amp; Data'!O577</f>
        <v>388758.63</v>
      </c>
      <c r="P443" s="39" t="n">
        <f aca="false">H443*'Assumptions &amp; Data'!P577</f>
        <v>244828.166481756</v>
      </c>
      <c r="Q443" s="39" t="n">
        <f aca="false">M443-N443-O443-P443</f>
        <v>2339032.05839909</v>
      </c>
      <c r="R443" s="39" t="n">
        <f aca="false">'Assumptions &amp; Data'!L577*'Assumptions &amp; Data'!M577</f>
        <v>616000</v>
      </c>
      <c r="S443" s="37" t="n">
        <f aca="false">'Assumptions &amp; Data'!Q577</f>
        <v>870000</v>
      </c>
      <c r="T443" s="37" t="n">
        <f aca="false">'Assumptions &amp; Data'!R577</f>
        <v>188396</v>
      </c>
      <c r="U443" s="37" t="n">
        <f aca="false">'Assumptions &amp; Data'!S577</f>
        <v>228088</v>
      </c>
      <c r="V443" s="39" t="n">
        <f aca="false">Q443-R443-S443-T443-U443</f>
        <v>436548.058399088</v>
      </c>
      <c r="W443" s="39" t="n">
        <f aca="false">DAY(EOMONTH(C443,0))</f>
        <v>31</v>
      </c>
      <c r="X443" s="40" t="n">
        <f aca="false">E443/W443</f>
        <v>1168.74193548387</v>
      </c>
      <c r="Y443" s="39" t="n">
        <f aca="false">R443+S443+T443+U443</f>
        <v>1902484</v>
      </c>
    </row>
    <row r="444" customFormat="false" ht="15" hidden="false" customHeight="false" outlineLevel="0" collapsed="false">
      <c r="A444" s="37" t="str">
        <f aca="false">'Assumptions &amp; Data'!A578</f>
        <v>SM0374</v>
      </c>
      <c r="B444" s="37" t="str">
        <f aca="false">'Assumptions &amp; Data'!B578</f>
        <v>DS032</v>
      </c>
      <c r="C444" s="38" t="n">
        <f aca="false">'Assumptions &amp; Data'!C578</f>
        <v>45962</v>
      </c>
      <c r="D444" s="39" t="str">
        <f aca="false">INDEX('Assumptions &amp; Data'!$B$142:$B$201,MATCH(B444,'Assumptions &amp; Data'!$A$142:$A$201,0))</f>
        <v>Bengaluru</v>
      </c>
      <c r="E444" s="37" t="n">
        <f aca="false">'Assumptions &amp; Data'!D578</f>
        <v>40405</v>
      </c>
      <c r="F444" s="39" t="n">
        <f aca="false">E444*'Assumptions &amp; Data'!E578</f>
        <v>28578456.5</v>
      </c>
      <c r="G444" s="39" t="n">
        <f aca="false">F444*'Assumptions &amp; Data'!F578</f>
        <v>2023354.7202</v>
      </c>
      <c r="H444" s="39" t="n">
        <f aca="false">F444-G444</f>
        <v>26555101.7798</v>
      </c>
      <c r="I444" s="39" t="n">
        <f aca="false">H444*'Assumptions &amp; Data'!G578</f>
        <v>4400180.36491286</v>
      </c>
      <c r="J444" s="39" t="n">
        <f aca="false">E444*'Assumptions &amp; Data'!H578</f>
        <v>517992.1</v>
      </c>
      <c r="K444" s="39" t="n">
        <f aca="false">H444*'Assumptions &amp; Data'!I578</f>
        <v>847107.74677562</v>
      </c>
      <c r="L444" s="39" t="n">
        <f aca="false">H444*'Assumptions &amp; Data'!J578</f>
        <v>871007.33837744</v>
      </c>
      <c r="M444" s="39" t="n">
        <f aca="false">I444+J444+K444-L444</f>
        <v>4894272.87331104</v>
      </c>
      <c r="N444" s="39" t="n">
        <f aca="false">E444*'Assumptions &amp; Data'!N578</f>
        <v>1491752.6</v>
      </c>
      <c r="O444" s="39" t="n">
        <f aca="false">E444*'Assumptions &amp; Data'!O578</f>
        <v>436374</v>
      </c>
      <c r="P444" s="39" t="n">
        <f aca="false">H444*'Assumptions &amp; Data'!P578</f>
        <v>257584.48726406</v>
      </c>
      <c r="Q444" s="39" t="n">
        <f aca="false">M444-N444-O444-P444</f>
        <v>2708561.78604698</v>
      </c>
      <c r="R444" s="39" t="n">
        <f aca="false">'Assumptions &amp; Data'!L578*'Assumptions &amp; Data'!M578</f>
        <v>726660</v>
      </c>
      <c r="S444" s="37" t="n">
        <f aca="false">'Assumptions &amp; Data'!Q578</f>
        <v>870000</v>
      </c>
      <c r="T444" s="37" t="n">
        <f aca="false">'Assumptions &amp; Data'!R578</f>
        <v>197186</v>
      </c>
      <c r="U444" s="37" t="n">
        <f aca="false">'Assumptions &amp; Data'!S578</f>
        <v>236049</v>
      </c>
      <c r="V444" s="39" t="n">
        <f aca="false">Q444-R444-S444-T444-U444</f>
        <v>678666.786046979</v>
      </c>
      <c r="W444" s="39" t="n">
        <f aca="false">DAY(EOMONTH(C444,0))</f>
        <v>30</v>
      </c>
      <c r="X444" s="40" t="n">
        <f aca="false">E444/W444</f>
        <v>1346.83333333333</v>
      </c>
      <c r="Y444" s="39" t="n">
        <f aca="false">R444+S444+T444+U444</f>
        <v>2029895</v>
      </c>
    </row>
    <row r="445" customFormat="false" ht="15" hidden="false" customHeight="false" outlineLevel="0" collapsed="false">
      <c r="A445" s="37" t="str">
        <f aca="false">'Assumptions &amp; Data'!A579</f>
        <v>SM0375</v>
      </c>
      <c r="B445" s="37" t="str">
        <f aca="false">'Assumptions &amp; Data'!B579</f>
        <v>DS032</v>
      </c>
      <c r="C445" s="38" t="n">
        <f aca="false">'Assumptions &amp; Data'!C579</f>
        <v>45992</v>
      </c>
      <c r="D445" s="39" t="str">
        <f aca="false">INDEX('Assumptions &amp; Data'!$B$142:$B$201,MATCH(B445,'Assumptions &amp; Data'!$A$142:$A$201,0))</f>
        <v>Bengaluru</v>
      </c>
      <c r="E445" s="37" t="n">
        <f aca="false">'Assumptions &amp; Data'!D579</f>
        <v>43047</v>
      </c>
      <c r="F445" s="39" t="n">
        <f aca="false">E445*'Assumptions &amp; Data'!E579</f>
        <v>30262041</v>
      </c>
      <c r="G445" s="39" t="n">
        <f aca="false">F445*'Assumptions &amp; Data'!F579</f>
        <v>2139526.2987</v>
      </c>
      <c r="H445" s="39" t="n">
        <f aca="false">F445-G445</f>
        <v>28122514.7013</v>
      </c>
      <c r="I445" s="39" t="n">
        <f aca="false">H445*'Assumptions &amp; Data'!G579</f>
        <v>4702084.45805736</v>
      </c>
      <c r="J445" s="39" t="n">
        <f aca="false">E445*'Assumptions &amp; Data'!H579</f>
        <v>534643.74</v>
      </c>
      <c r="K445" s="39" t="n">
        <f aca="false">H445*'Assumptions &amp; Data'!I579</f>
        <v>894295.96750134</v>
      </c>
      <c r="L445" s="39" t="n">
        <f aca="false">H445*'Assumptions &amp; Data'!J579</f>
        <v>973039.00866498</v>
      </c>
      <c r="M445" s="39" t="n">
        <f aca="false">I445+J445+K445-L445</f>
        <v>5157985.15689372</v>
      </c>
      <c r="N445" s="39" t="n">
        <f aca="false">E445*'Assumptions &amp; Data'!N579</f>
        <v>1563036.57</v>
      </c>
      <c r="O445" s="39" t="n">
        <f aca="false">E445*'Assumptions &amp; Data'!O579</f>
        <v>464907.6</v>
      </c>
      <c r="P445" s="39" t="n">
        <f aca="false">H445*'Assumptions &amp; Data'!P579</f>
        <v>278412.89554287</v>
      </c>
      <c r="Q445" s="39" t="n">
        <f aca="false">M445-N445-O445-P445</f>
        <v>2851628.09135085</v>
      </c>
      <c r="R445" s="39" t="n">
        <f aca="false">'Assumptions &amp; Data'!L579*'Assumptions &amp; Data'!M579</f>
        <v>749360</v>
      </c>
      <c r="S445" s="37" t="n">
        <f aca="false">'Assumptions &amp; Data'!Q579</f>
        <v>870000</v>
      </c>
      <c r="T445" s="37" t="n">
        <f aca="false">'Assumptions &amp; Data'!R579</f>
        <v>195743</v>
      </c>
      <c r="U445" s="37" t="n">
        <f aca="false">'Assumptions &amp; Data'!S579</f>
        <v>261421</v>
      </c>
      <c r="V445" s="39" t="n">
        <f aca="false">Q445-R445-S445-T445-U445</f>
        <v>775104.09135085</v>
      </c>
      <c r="W445" s="39" t="n">
        <f aca="false">DAY(EOMONTH(C445,0))</f>
        <v>31</v>
      </c>
      <c r="X445" s="40" t="n">
        <f aca="false">E445/W445</f>
        <v>1388.61290322581</v>
      </c>
      <c r="Y445" s="39" t="n">
        <f aca="false">R445+S445+T445+U445</f>
        <v>2076524</v>
      </c>
    </row>
    <row r="446" customFormat="false" ht="15" hidden="false" customHeight="false" outlineLevel="0" collapsed="false">
      <c r="A446" s="37" t="str">
        <f aca="false">'Assumptions &amp; Data'!A580</f>
        <v>SM0376</v>
      </c>
      <c r="B446" s="37" t="str">
        <f aca="false">'Assumptions &amp; Data'!B580</f>
        <v>DS032</v>
      </c>
      <c r="C446" s="38" t="n">
        <f aca="false">'Assumptions &amp; Data'!C580</f>
        <v>46023</v>
      </c>
      <c r="D446" s="39" t="str">
        <f aca="false">INDEX('Assumptions &amp; Data'!$B$142:$B$201,MATCH(B446,'Assumptions &amp; Data'!$A$142:$A$201,0))</f>
        <v>Bengaluru</v>
      </c>
      <c r="E446" s="37" t="n">
        <f aca="false">'Assumptions &amp; Data'!D580</f>
        <v>40395</v>
      </c>
      <c r="F446" s="39" t="n">
        <f aca="false">E446*'Assumptions &amp; Data'!E580</f>
        <v>28680450</v>
      </c>
      <c r="G446" s="39" t="n">
        <f aca="false">F446*'Assumptions &amp; Data'!F580</f>
        <v>1921590.15</v>
      </c>
      <c r="H446" s="39" t="n">
        <f aca="false">F446-G446</f>
        <v>26758859.85</v>
      </c>
      <c r="I446" s="39" t="n">
        <f aca="false">H446*'Assumptions &amp; Data'!G580</f>
        <v>4350990.61161</v>
      </c>
      <c r="J446" s="39" t="n">
        <f aca="false">E446*'Assumptions &amp; Data'!H580</f>
        <v>489991.35</v>
      </c>
      <c r="K446" s="39" t="n">
        <f aca="false">H446*'Assumptions &amp; Data'!I580</f>
        <v>864311.173155</v>
      </c>
      <c r="L446" s="39" t="n">
        <f aca="false">H446*'Assumptions &amp; Data'!J580</f>
        <v>885718.261035</v>
      </c>
      <c r="M446" s="39" t="n">
        <f aca="false">I446+J446+K446-L446</f>
        <v>4819574.87373</v>
      </c>
      <c r="N446" s="39" t="n">
        <f aca="false">E446*'Assumptions &amp; Data'!N580</f>
        <v>1495018.95</v>
      </c>
      <c r="O446" s="39" t="n">
        <f aca="false">E446*'Assumptions &amp; Data'!O580</f>
        <v>437477.85</v>
      </c>
      <c r="P446" s="39" t="n">
        <f aca="false">H446*'Assumptions &amp; Data'!P580</f>
        <v>280968.028425</v>
      </c>
      <c r="Q446" s="39" t="n">
        <f aca="false">M446-N446-O446-P446</f>
        <v>2606110.045305</v>
      </c>
      <c r="R446" s="39" t="n">
        <f aca="false">'Assumptions &amp; Data'!L580*'Assumptions &amp; Data'!M580</f>
        <v>683860</v>
      </c>
      <c r="S446" s="37" t="n">
        <f aca="false">'Assumptions &amp; Data'!Q580</f>
        <v>870000</v>
      </c>
      <c r="T446" s="37" t="n">
        <f aca="false">'Assumptions &amp; Data'!R580</f>
        <v>193472</v>
      </c>
      <c r="U446" s="37" t="n">
        <f aca="false">'Assumptions &amp; Data'!S580</f>
        <v>245720</v>
      </c>
      <c r="V446" s="39" t="n">
        <f aca="false">Q446-R446-S446-T446-U446</f>
        <v>613058.045305</v>
      </c>
      <c r="W446" s="39" t="n">
        <f aca="false">DAY(EOMONTH(C446,0))</f>
        <v>31</v>
      </c>
      <c r="X446" s="40" t="n">
        <f aca="false">E446/W446</f>
        <v>1303.06451612903</v>
      </c>
      <c r="Y446" s="39" t="n">
        <f aca="false">R446+S446+T446+U446</f>
        <v>1993052</v>
      </c>
    </row>
    <row r="447" customFormat="false" ht="15" hidden="false" customHeight="false" outlineLevel="0" collapsed="false">
      <c r="A447" s="37" t="str">
        <f aca="false">'Assumptions &amp; Data'!A581</f>
        <v>SM0377</v>
      </c>
      <c r="B447" s="37" t="str">
        <f aca="false">'Assumptions &amp; Data'!B581</f>
        <v>DS032</v>
      </c>
      <c r="C447" s="38" t="n">
        <f aca="false">'Assumptions &amp; Data'!C581</f>
        <v>46054</v>
      </c>
      <c r="D447" s="39" t="str">
        <f aca="false">INDEX('Assumptions &amp; Data'!$B$142:$B$201,MATCH(B447,'Assumptions &amp; Data'!$A$142:$A$201,0))</f>
        <v>Bengaluru</v>
      </c>
      <c r="E447" s="37" t="n">
        <f aca="false">'Assumptions &amp; Data'!D581</f>
        <v>33681</v>
      </c>
      <c r="F447" s="39" t="n">
        <f aca="false">E447*'Assumptions &amp; Data'!E581</f>
        <v>24199798.5</v>
      </c>
      <c r="G447" s="39" t="n">
        <f aca="false">F447*'Assumptions &amp; Data'!F581</f>
        <v>1638326.35845</v>
      </c>
      <c r="H447" s="39" t="n">
        <f aca="false">F447-G447</f>
        <v>22561472.14155</v>
      </c>
      <c r="I447" s="39" t="n">
        <f aca="false">H447*'Assumptions &amp; Data'!G581</f>
        <v>3767765.84763885</v>
      </c>
      <c r="J447" s="39" t="n">
        <f aca="false">E447*'Assumptions &amp; Data'!H581</f>
        <v>444589.2</v>
      </c>
      <c r="K447" s="39" t="n">
        <f aca="false">H447*'Assumptions &amp; Data'!I581</f>
        <v>643001.956034175</v>
      </c>
      <c r="L447" s="39" t="n">
        <f aca="false">H447*'Assumptions &amp; Data'!J581</f>
        <v>744528.58067115</v>
      </c>
      <c r="M447" s="39" t="n">
        <f aca="false">I447+J447+K447-L447</f>
        <v>4110828.42300188</v>
      </c>
      <c r="N447" s="39" t="n">
        <f aca="false">E447*'Assumptions &amp; Data'!N581</f>
        <v>1239123.99</v>
      </c>
      <c r="O447" s="39" t="n">
        <f aca="false">E447*'Assumptions &amp; Data'!O581</f>
        <v>367796.52</v>
      </c>
      <c r="P447" s="39" t="n">
        <f aca="false">H447*'Assumptions &amp; Data'!P581</f>
        <v>223358.574201345</v>
      </c>
      <c r="Q447" s="39" t="n">
        <f aca="false">M447-N447-O447-P447</f>
        <v>2280549.33880053</v>
      </c>
      <c r="R447" s="39" t="n">
        <f aca="false">'Assumptions &amp; Data'!L581*'Assumptions &amp; Data'!M581</f>
        <v>640320</v>
      </c>
      <c r="S447" s="37" t="n">
        <f aca="false">'Assumptions &amp; Data'!Q581</f>
        <v>870000</v>
      </c>
      <c r="T447" s="37" t="n">
        <f aca="false">'Assumptions &amp; Data'!R581</f>
        <v>186763</v>
      </c>
      <c r="U447" s="37" t="n">
        <f aca="false">'Assumptions &amp; Data'!S581</f>
        <v>185798</v>
      </c>
      <c r="V447" s="39" t="n">
        <f aca="false">Q447-R447-S447-T447-U447</f>
        <v>397668.33880053</v>
      </c>
      <c r="W447" s="39" t="n">
        <f aca="false">DAY(EOMONTH(C447,0))</f>
        <v>28</v>
      </c>
      <c r="X447" s="40" t="n">
        <f aca="false">E447/W447</f>
        <v>1202.89285714286</v>
      </c>
      <c r="Y447" s="39" t="n">
        <f aca="false">R447+S447+T447+U447</f>
        <v>1882881</v>
      </c>
    </row>
    <row r="448" customFormat="false" ht="15" hidden="false" customHeight="false" outlineLevel="0" collapsed="false">
      <c r="A448" s="37" t="str">
        <f aca="false">'Assumptions &amp; Data'!A582</f>
        <v>SM0378</v>
      </c>
      <c r="B448" s="37" t="str">
        <f aca="false">'Assumptions &amp; Data'!B582</f>
        <v>DS032</v>
      </c>
      <c r="C448" s="38" t="n">
        <f aca="false">'Assumptions &amp; Data'!C582</f>
        <v>46082</v>
      </c>
      <c r="D448" s="39" t="str">
        <f aca="false">INDEX('Assumptions &amp; Data'!$B$142:$B$201,MATCH(B448,'Assumptions &amp; Data'!$A$142:$A$201,0))</f>
        <v>Bengaluru</v>
      </c>
      <c r="E448" s="37" t="n">
        <f aca="false">'Assumptions &amp; Data'!D582</f>
        <v>40380</v>
      </c>
      <c r="F448" s="39" t="n">
        <f aca="false">E448*'Assumptions &amp; Data'!E582</f>
        <v>28548660</v>
      </c>
      <c r="G448" s="39" t="n">
        <f aca="false">F448*'Assumptions &amp; Data'!F582</f>
        <v>1887066.426</v>
      </c>
      <c r="H448" s="39" t="n">
        <f aca="false">F448-G448</f>
        <v>26661593.574</v>
      </c>
      <c r="I448" s="39" t="n">
        <f aca="false">H448*'Assumptions &amp; Data'!G582</f>
        <v>4367169.0274212</v>
      </c>
      <c r="J448" s="39" t="n">
        <f aca="false">E448*'Assumptions &amp; Data'!H582</f>
        <v>491424.6</v>
      </c>
      <c r="K448" s="39" t="n">
        <f aca="false">H448*'Assumptions &amp; Data'!I582</f>
        <v>882498.7472994</v>
      </c>
      <c r="L448" s="39" t="n">
        <f aca="false">H448*'Assumptions &amp; Data'!J582</f>
        <v>909160.3408734</v>
      </c>
      <c r="M448" s="39" t="n">
        <f aca="false">I448+J448+K448-L448</f>
        <v>4831932.0338472</v>
      </c>
      <c r="N448" s="39" t="n">
        <f aca="false">E448*'Assumptions &amp; Data'!N582</f>
        <v>1477100.4</v>
      </c>
      <c r="O448" s="39" t="n">
        <f aca="false">E448*'Assumptions &amp; Data'!O582</f>
        <v>431258.4</v>
      </c>
      <c r="P448" s="39" t="n">
        <f aca="false">H448*'Assumptions &amp; Data'!P582</f>
        <v>274614.4138122</v>
      </c>
      <c r="Q448" s="39" t="n">
        <f aca="false">M448-N448-O448-P448</f>
        <v>2648958.820035</v>
      </c>
      <c r="R448" s="39" t="n">
        <f aca="false">'Assumptions &amp; Data'!L582*'Assumptions &amp; Data'!M582</f>
        <v>663000</v>
      </c>
      <c r="S448" s="37" t="n">
        <f aca="false">'Assumptions &amp; Data'!Q582</f>
        <v>870000</v>
      </c>
      <c r="T448" s="37" t="n">
        <f aca="false">'Assumptions &amp; Data'!R582</f>
        <v>182284</v>
      </c>
      <c r="U448" s="37" t="n">
        <f aca="false">'Assumptions &amp; Data'!S582</f>
        <v>190664</v>
      </c>
      <c r="V448" s="39" t="n">
        <f aca="false">Q448-R448-S448-T448-U448</f>
        <v>743010.820035001</v>
      </c>
      <c r="W448" s="39" t="n">
        <f aca="false">DAY(EOMONTH(C448,0))</f>
        <v>31</v>
      </c>
      <c r="X448" s="40" t="n">
        <f aca="false">E448/W448</f>
        <v>1302.58064516129</v>
      </c>
      <c r="Y448" s="39" t="n">
        <f aca="false">R448+S448+T448+U448</f>
        <v>1905948</v>
      </c>
    </row>
    <row r="449" customFormat="false" ht="15" hidden="false" customHeight="false" outlineLevel="0" collapsed="false">
      <c r="A449" s="37" t="str">
        <f aca="false">'Assumptions &amp; Data'!A583</f>
        <v>SM0379</v>
      </c>
      <c r="B449" s="37" t="str">
        <f aca="false">'Assumptions &amp; Data'!B583</f>
        <v>DS032</v>
      </c>
      <c r="C449" s="38" t="n">
        <f aca="false">'Assumptions &amp; Data'!C583</f>
        <v>46113</v>
      </c>
      <c r="D449" s="39" t="str">
        <f aca="false">INDEX('Assumptions &amp; Data'!$B$142:$B$201,MATCH(B449,'Assumptions &amp; Data'!$A$142:$A$201,0))</f>
        <v>Bengaluru</v>
      </c>
      <c r="E449" s="37" t="n">
        <f aca="false">'Assumptions &amp; Data'!D583</f>
        <v>40851</v>
      </c>
      <c r="F449" s="39" t="n">
        <f aca="false">E449*'Assumptions &amp; Data'!E583</f>
        <v>29486251.8</v>
      </c>
      <c r="G449" s="39" t="n">
        <f aca="false">F449*'Assumptions &amp; Data'!F583</f>
        <v>1916606.367</v>
      </c>
      <c r="H449" s="39" t="n">
        <f aca="false">F449-G449</f>
        <v>27569645.433</v>
      </c>
      <c r="I449" s="39" t="n">
        <f aca="false">H449*'Assumptions &amp; Data'!G583</f>
        <v>4582075.0709646</v>
      </c>
      <c r="J449" s="39" t="n">
        <f aca="false">E449*'Assumptions &amp; Data'!H583</f>
        <v>518399.19</v>
      </c>
      <c r="K449" s="39" t="n">
        <f aca="false">H449*'Assumptions &amp; Data'!I583</f>
        <v>915312.2283756</v>
      </c>
      <c r="L449" s="39" t="n">
        <f aca="false">H449*'Assumptions &amp; Data'!J583</f>
        <v>898770.4411158</v>
      </c>
      <c r="M449" s="39" t="n">
        <f aca="false">I449+J449+K449-L449</f>
        <v>5117016.0482244</v>
      </c>
      <c r="N449" s="39" t="n">
        <f aca="false">E449*'Assumptions &amp; Data'!N583</f>
        <v>1522108.26</v>
      </c>
      <c r="O449" s="39" t="n">
        <f aca="false">E449*'Assumptions &amp; Data'!O583</f>
        <v>435063.15</v>
      </c>
      <c r="P449" s="39" t="n">
        <f aca="false">H449*'Assumptions &amp; Data'!P583</f>
        <v>270182.5252434</v>
      </c>
      <c r="Q449" s="39" t="n">
        <f aca="false">M449-N449-O449-P449</f>
        <v>2889662.112981</v>
      </c>
      <c r="R449" s="39" t="n">
        <f aca="false">'Assumptions &amp; Data'!L583*'Assumptions &amp; Data'!M583</f>
        <v>729960</v>
      </c>
      <c r="S449" s="37" t="n">
        <f aca="false">'Assumptions &amp; Data'!Q583</f>
        <v>870000</v>
      </c>
      <c r="T449" s="37" t="n">
        <f aca="false">'Assumptions &amp; Data'!R583</f>
        <v>184564</v>
      </c>
      <c r="U449" s="37" t="n">
        <f aca="false">'Assumptions &amp; Data'!S583</f>
        <v>227392</v>
      </c>
      <c r="V449" s="39" t="n">
        <f aca="false">Q449-R449-S449-T449-U449</f>
        <v>877746.112980999</v>
      </c>
      <c r="W449" s="39" t="n">
        <f aca="false">DAY(EOMONTH(C449,0))</f>
        <v>30</v>
      </c>
      <c r="X449" s="40" t="n">
        <f aca="false">E449/W449</f>
        <v>1361.7</v>
      </c>
      <c r="Y449" s="39" t="n">
        <f aca="false">R449+S449+T449+U449</f>
        <v>2011916</v>
      </c>
    </row>
    <row r="450" customFormat="false" ht="15" hidden="false" customHeight="false" outlineLevel="0" collapsed="false">
      <c r="A450" s="37" t="str">
        <f aca="false">'Assumptions &amp; Data'!A584</f>
        <v>SM0380</v>
      </c>
      <c r="B450" s="37" t="str">
        <f aca="false">'Assumptions &amp; Data'!B584</f>
        <v>DS032</v>
      </c>
      <c r="C450" s="38" t="n">
        <f aca="false">'Assumptions &amp; Data'!C584</f>
        <v>46143</v>
      </c>
      <c r="D450" s="39" t="str">
        <f aca="false">INDEX('Assumptions &amp; Data'!$B$142:$B$201,MATCH(B450,'Assumptions &amp; Data'!$A$142:$A$201,0))</f>
        <v>Bengaluru</v>
      </c>
      <c r="E450" s="37" t="n">
        <f aca="false">'Assumptions &amp; Data'!D584</f>
        <v>45426</v>
      </c>
      <c r="F450" s="39" t="n">
        <f aca="false">E450*'Assumptions &amp; Data'!E584</f>
        <v>31948105.8</v>
      </c>
      <c r="G450" s="39" t="n">
        <f aca="false">F450*'Assumptions &amp; Data'!F584</f>
        <v>2252341.4589</v>
      </c>
      <c r="H450" s="39" t="n">
        <f aca="false">F450-G450</f>
        <v>29695764.3411</v>
      </c>
      <c r="I450" s="39" t="n">
        <f aca="false">H450*'Assumptions &amp; Data'!G584</f>
        <v>4828531.28186286</v>
      </c>
      <c r="J450" s="39" t="n">
        <f aca="false">E450*'Assumptions &amp; Data'!H584</f>
        <v>591446.52</v>
      </c>
      <c r="K450" s="39" t="n">
        <f aca="false">H450*'Assumptions &amp; Data'!I584</f>
        <v>956203.61178342</v>
      </c>
      <c r="L450" s="39" t="n">
        <f aca="false">H450*'Assumptions &amp; Data'!J584</f>
        <v>1027473.44620206</v>
      </c>
      <c r="M450" s="39" t="n">
        <f aca="false">I450+J450+K450-L450</f>
        <v>5348707.96744422</v>
      </c>
      <c r="N450" s="39" t="n">
        <f aca="false">E450*'Assumptions &amp; Data'!N584</f>
        <v>1705746.3</v>
      </c>
      <c r="O450" s="39" t="n">
        <f aca="false">E450*'Assumptions &amp; Data'!O584</f>
        <v>484695.42</v>
      </c>
      <c r="P450" s="39" t="n">
        <f aca="false">H450*'Assumptions &amp; Data'!P584</f>
        <v>314775.10201566</v>
      </c>
      <c r="Q450" s="39" t="n">
        <f aca="false">M450-N450-O450-P450</f>
        <v>2843491.14542856</v>
      </c>
      <c r="R450" s="39" t="n">
        <f aca="false">'Assumptions &amp; Data'!L584*'Assumptions &amp; Data'!M584</f>
        <v>752760</v>
      </c>
      <c r="S450" s="37" t="n">
        <f aca="false">'Assumptions &amp; Data'!Q584</f>
        <v>870000</v>
      </c>
      <c r="T450" s="37" t="n">
        <f aca="false">'Assumptions &amp; Data'!R584</f>
        <v>194399</v>
      </c>
      <c r="U450" s="37" t="n">
        <f aca="false">'Assumptions &amp; Data'!S584</f>
        <v>240992</v>
      </c>
      <c r="V450" s="39" t="n">
        <f aca="false">Q450-R450-S450-T450-U450</f>
        <v>785340.14542856</v>
      </c>
      <c r="W450" s="39" t="n">
        <f aca="false">DAY(EOMONTH(C450,0))</f>
        <v>31</v>
      </c>
      <c r="X450" s="40" t="n">
        <f aca="false">E450/W450</f>
        <v>1465.35483870968</v>
      </c>
      <c r="Y450" s="39" t="n">
        <f aca="false">R450+S450+T450+U450</f>
        <v>2058151</v>
      </c>
    </row>
    <row r="451" customFormat="false" ht="15" hidden="false" customHeight="false" outlineLevel="0" collapsed="false">
      <c r="A451" s="37" t="str">
        <f aca="false">'Assumptions &amp; Data'!A585</f>
        <v>SM0381</v>
      </c>
      <c r="B451" s="37" t="str">
        <f aca="false">'Assumptions &amp; Data'!B585</f>
        <v>DS032</v>
      </c>
      <c r="C451" s="38" t="n">
        <f aca="false">'Assumptions &amp; Data'!C585</f>
        <v>46174</v>
      </c>
      <c r="D451" s="39" t="str">
        <f aca="false">INDEX('Assumptions &amp; Data'!$B$142:$B$201,MATCH(B451,'Assumptions &amp; Data'!$A$142:$A$201,0))</f>
        <v>Bengaluru</v>
      </c>
      <c r="E451" s="37" t="n">
        <f aca="false">'Assumptions &amp; Data'!D585</f>
        <v>39459</v>
      </c>
      <c r="F451" s="39" t="n">
        <f aca="false">E451*'Assumptions &amp; Data'!E585</f>
        <v>27585786.9</v>
      </c>
      <c r="G451" s="39" t="n">
        <f aca="false">F451*'Assumptions &amp; Data'!F585</f>
        <v>1790317.56981</v>
      </c>
      <c r="H451" s="39" t="n">
        <f aca="false">F451-G451</f>
        <v>25795469.33019</v>
      </c>
      <c r="I451" s="39" t="n">
        <f aca="false">H451*'Assumptions &amp; Data'!G585</f>
        <v>4145331.92136153</v>
      </c>
      <c r="J451" s="39" t="n">
        <f aca="false">E451*'Assumptions &amp; Data'!H585</f>
        <v>500734.71</v>
      </c>
      <c r="K451" s="39" t="n">
        <f aca="false">H451*'Assumptions &amp; Data'!I585</f>
        <v>779023.173771738</v>
      </c>
      <c r="L451" s="39" t="n">
        <f aca="false">H451*'Assumptions &amp; Data'!J585</f>
        <v>866727.769494384</v>
      </c>
      <c r="M451" s="39" t="n">
        <f aca="false">I451+J451+K451-L451</f>
        <v>4558362.03563889</v>
      </c>
      <c r="N451" s="39" t="n">
        <f aca="false">E451*'Assumptions &amp; Data'!N585</f>
        <v>1447750.71</v>
      </c>
      <c r="O451" s="39" t="n">
        <f aca="false">E451*'Assumptions &amp; Data'!O585</f>
        <v>423789.66</v>
      </c>
      <c r="P451" s="39" t="n">
        <f aca="false">H451*'Assumptions &amp; Data'!P585</f>
        <v>273431.974900014</v>
      </c>
      <c r="Q451" s="39" t="n">
        <f aca="false">M451-N451-O451-P451</f>
        <v>2413389.69073887</v>
      </c>
      <c r="R451" s="39" t="n">
        <f aca="false">'Assumptions &amp; Data'!L585*'Assumptions &amp; Data'!M585</f>
        <v>686960</v>
      </c>
      <c r="S451" s="37" t="n">
        <f aca="false">'Assumptions &amp; Data'!Q585</f>
        <v>870000</v>
      </c>
      <c r="T451" s="37" t="n">
        <f aca="false">'Assumptions &amp; Data'!R585</f>
        <v>190000</v>
      </c>
      <c r="U451" s="37" t="n">
        <f aca="false">'Assumptions &amp; Data'!S585</f>
        <v>191557</v>
      </c>
      <c r="V451" s="39" t="n">
        <f aca="false">Q451-R451-S451-T451-U451</f>
        <v>474872.690738873</v>
      </c>
      <c r="W451" s="39" t="n">
        <f aca="false">DAY(EOMONTH(C451,0))</f>
        <v>30</v>
      </c>
      <c r="X451" s="40" t="n">
        <f aca="false">E451/W451</f>
        <v>1315.3</v>
      </c>
      <c r="Y451" s="39" t="n">
        <f aca="false">R451+S451+T451+U451</f>
        <v>1938517</v>
      </c>
    </row>
    <row r="452" customFormat="false" ht="15" hidden="false" customHeight="false" outlineLevel="0" collapsed="false">
      <c r="A452" s="37" t="str">
        <f aca="false">'Assumptions &amp; Data'!A586</f>
        <v>SM0382</v>
      </c>
      <c r="B452" s="37" t="str">
        <f aca="false">'Assumptions &amp; Data'!B586</f>
        <v>DS032</v>
      </c>
      <c r="C452" s="38" t="n">
        <f aca="false">'Assumptions &amp; Data'!C586</f>
        <v>46204</v>
      </c>
      <c r="D452" s="39" t="str">
        <f aca="false">INDEX('Assumptions &amp; Data'!$B$142:$B$201,MATCH(B452,'Assumptions &amp; Data'!$A$142:$A$201,0))</f>
        <v>Bengaluru</v>
      </c>
      <c r="E452" s="37" t="n">
        <f aca="false">'Assumptions &amp; Data'!D586</f>
        <v>42711</v>
      </c>
      <c r="F452" s="39" t="n">
        <f aca="false">E452*'Assumptions &amp; Data'!E586</f>
        <v>29919055.5</v>
      </c>
      <c r="G452" s="39" t="n">
        <f aca="false">F452*'Assumptions &amp; Data'!F586</f>
        <v>1950722.4186</v>
      </c>
      <c r="H452" s="39" t="n">
        <f aca="false">F452-G452</f>
        <v>27968333.0814</v>
      </c>
      <c r="I452" s="39" t="n">
        <f aca="false">H452*'Assumptions &amp; Data'!G586</f>
        <v>4600790.7918903</v>
      </c>
      <c r="J452" s="39" t="n">
        <f aca="false">E452*'Assumptions &amp; Data'!H586</f>
        <v>536877.27</v>
      </c>
      <c r="K452" s="39" t="n">
        <f aca="false">H452*'Assumptions &amp; Data'!I586</f>
        <v>936939.1582269</v>
      </c>
      <c r="L452" s="39" t="n">
        <f aca="false">H452*'Assumptions &amp; Data'!J586</f>
        <v>948126.49145946</v>
      </c>
      <c r="M452" s="39" t="n">
        <f aca="false">I452+J452+K452-L452</f>
        <v>5126480.72865774</v>
      </c>
      <c r="N452" s="39" t="n">
        <f aca="false">E452*'Assumptions &amp; Data'!N586</f>
        <v>1584150.99</v>
      </c>
      <c r="O452" s="39" t="n">
        <f aca="false">E452*'Assumptions &amp; Data'!O586</f>
        <v>472810.77</v>
      </c>
      <c r="P452" s="39" t="n">
        <f aca="false">H452*'Assumptions &amp; Data'!P586</f>
        <v>276886.49750586</v>
      </c>
      <c r="Q452" s="39" t="n">
        <f aca="false">M452-N452-O452-P452</f>
        <v>2792632.47115188</v>
      </c>
      <c r="R452" s="39" t="n">
        <f aca="false">'Assumptions &amp; Data'!L586*'Assumptions &amp; Data'!M586</f>
        <v>731940</v>
      </c>
      <c r="S452" s="37" t="n">
        <f aca="false">'Assumptions &amp; Data'!Q586</f>
        <v>870000</v>
      </c>
      <c r="T452" s="37" t="n">
        <f aca="false">'Assumptions &amp; Data'!R586</f>
        <v>182499</v>
      </c>
      <c r="U452" s="37" t="n">
        <f aca="false">'Assumptions &amp; Data'!S586</f>
        <v>217927</v>
      </c>
      <c r="V452" s="39" t="n">
        <f aca="false">Q452-R452-S452-T452-U452</f>
        <v>790266.47115188</v>
      </c>
      <c r="W452" s="39" t="n">
        <f aca="false">DAY(EOMONTH(C452,0))</f>
        <v>31</v>
      </c>
      <c r="X452" s="40" t="n">
        <f aca="false">E452/W452</f>
        <v>1377.77419354839</v>
      </c>
      <c r="Y452" s="39" t="n">
        <f aca="false">R452+S452+T452+U452</f>
        <v>2002366</v>
      </c>
    </row>
    <row r="453" customFormat="false" ht="15" hidden="false" customHeight="false" outlineLevel="0" collapsed="false">
      <c r="A453" s="37" t="str">
        <f aca="false">'Assumptions &amp; Data'!A587</f>
        <v>SM0383</v>
      </c>
      <c r="B453" s="37" t="str">
        <f aca="false">'Assumptions &amp; Data'!B587</f>
        <v>DS032</v>
      </c>
      <c r="C453" s="38" t="n">
        <f aca="false">'Assumptions &amp; Data'!C587</f>
        <v>46235</v>
      </c>
      <c r="D453" s="39" t="str">
        <f aca="false">INDEX('Assumptions &amp; Data'!$B$142:$B$201,MATCH(B453,'Assumptions &amp; Data'!$A$142:$A$201,0))</f>
        <v>Bengaluru</v>
      </c>
      <c r="E453" s="37" t="n">
        <f aca="false">'Assumptions &amp; Data'!D587</f>
        <v>44267</v>
      </c>
      <c r="F453" s="39" t="n">
        <f aca="false">E453*'Assumptions &amp; Data'!E587</f>
        <v>31460556.9</v>
      </c>
      <c r="G453" s="39" t="n">
        <f aca="false">F453*'Assumptions &amp; Data'!F587</f>
        <v>2035498.03143</v>
      </c>
      <c r="H453" s="39" t="n">
        <f aca="false">F453-G453</f>
        <v>29425058.86857</v>
      </c>
      <c r="I453" s="39" t="n">
        <f aca="false">H453*'Assumptions &amp; Data'!G587</f>
        <v>4861019.72508777</v>
      </c>
      <c r="J453" s="39" t="n">
        <f aca="false">E453*'Assumptions &amp; Data'!H587</f>
        <v>539172.06</v>
      </c>
      <c r="K453" s="39" t="n">
        <f aca="false">H453*'Assumptions &amp; Data'!I587</f>
        <v>935716.872020526</v>
      </c>
      <c r="L453" s="39" t="n">
        <f aca="false">H453*'Assumptions &amp; Data'!J587</f>
        <v>1038704.57806052</v>
      </c>
      <c r="M453" s="39" t="n">
        <f aca="false">I453+J453+K453-L453</f>
        <v>5297204.07904777</v>
      </c>
      <c r="N453" s="39" t="n">
        <f aca="false">E453*'Assumptions &amp; Data'!N587</f>
        <v>1626812.25</v>
      </c>
      <c r="O453" s="39" t="n">
        <f aca="false">E453*'Assumptions &amp; Data'!O587</f>
        <v>463918.16</v>
      </c>
      <c r="P453" s="39" t="n">
        <f aca="false">H453*'Assumptions &amp; Data'!P587</f>
        <v>288365.576911986</v>
      </c>
      <c r="Q453" s="39" t="n">
        <f aca="false">M453-N453-O453-P453</f>
        <v>2918108.09213578</v>
      </c>
      <c r="R453" s="39" t="n">
        <f aca="false">'Assumptions &amp; Data'!L587*'Assumptions &amp; Data'!M587</f>
        <v>754800</v>
      </c>
      <c r="S453" s="37" t="n">
        <f aca="false">'Assumptions &amp; Data'!Q587</f>
        <v>870000</v>
      </c>
      <c r="T453" s="37" t="n">
        <f aca="false">'Assumptions &amp; Data'!R587</f>
        <v>196053</v>
      </c>
      <c r="U453" s="37" t="n">
        <f aca="false">'Assumptions &amp; Data'!S587</f>
        <v>244848</v>
      </c>
      <c r="V453" s="39" t="n">
        <f aca="false">Q453-R453-S453-T453-U453</f>
        <v>852407.092135783</v>
      </c>
      <c r="W453" s="39" t="n">
        <f aca="false">DAY(EOMONTH(C453,0))</f>
        <v>31</v>
      </c>
      <c r="X453" s="40" t="n">
        <f aca="false">E453/W453</f>
        <v>1427.96774193548</v>
      </c>
      <c r="Y453" s="39" t="n">
        <f aca="false">R453+S453+T453+U453</f>
        <v>2065701</v>
      </c>
    </row>
    <row r="454" customFormat="false" ht="15" hidden="false" customHeight="false" outlineLevel="0" collapsed="false">
      <c r="A454" s="37" t="str">
        <f aca="false">'Assumptions &amp; Data'!A588</f>
        <v>SM0384</v>
      </c>
      <c r="B454" s="37" t="str">
        <f aca="false">'Assumptions &amp; Data'!B588</f>
        <v>DS032</v>
      </c>
      <c r="C454" s="38" t="n">
        <f aca="false">'Assumptions &amp; Data'!C588</f>
        <v>46266</v>
      </c>
      <c r="D454" s="39" t="str">
        <f aca="false">INDEX('Assumptions &amp; Data'!$B$142:$B$201,MATCH(B454,'Assumptions &amp; Data'!$A$142:$A$201,0))</f>
        <v>Bengaluru</v>
      </c>
      <c r="E454" s="37" t="n">
        <f aca="false">'Assumptions &amp; Data'!D588</f>
        <v>43852</v>
      </c>
      <c r="F454" s="39" t="n">
        <f aca="false">E454*'Assumptions &amp; Data'!E588</f>
        <v>30832341.2</v>
      </c>
      <c r="G454" s="39" t="n">
        <f aca="false">F454*'Assumptions &amp; Data'!F588</f>
        <v>2229178.26876</v>
      </c>
      <c r="H454" s="39" t="n">
        <f aca="false">F454-G454</f>
        <v>28603162.93124</v>
      </c>
      <c r="I454" s="39" t="n">
        <f aca="false">H454*'Assumptions &amp; Data'!G588</f>
        <v>4705220.30218898</v>
      </c>
      <c r="J454" s="39" t="n">
        <f aca="false">E454*'Assumptions &amp; Data'!H588</f>
        <v>564813.76</v>
      </c>
      <c r="K454" s="39" t="n">
        <f aca="false">H454*'Assumptions &amp; Data'!I588</f>
        <v>989669.437420904</v>
      </c>
      <c r="L454" s="39" t="n">
        <f aca="false">H454*'Assumptions &amp; Data'!J588</f>
        <v>972507.53966216</v>
      </c>
      <c r="M454" s="39" t="n">
        <f aca="false">I454+J454+K454-L454</f>
        <v>5287195.95994772</v>
      </c>
      <c r="N454" s="39" t="n">
        <f aca="false">E454*'Assumptions &amp; Data'!N588</f>
        <v>1603667.64</v>
      </c>
      <c r="O454" s="39" t="n">
        <f aca="false">E454*'Assumptions &amp; Data'!O588</f>
        <v>463077.12</v>
      </c>
      <c r="P454" s="39" t="n">
        <f aca="false">H454*'Assumptions &amp; Data'!P588</f>
        <v>286031.6293124</v>
      </c>
      <c r="Q454" s="39" t="n">
        <f aca="false">M454-N454-O454-P454</f>
        <v>2934419.57063532</v>
      </c>
      <c r="R454" s="39" t="n">
        <f aca="false">'Assumptions &amp; Data'!L588*'Assumptions &amp; Data'!M588</f>
        <v>777700</v>
      </c>
      <c r="S454" s="37" t="n">
        <f aca="false">'Assumptions &amp; Data'!Q588</f>
        <v>870000</v>
      </c>
      <c r="T454" s="37" t="n">
        <f aca="false">'Assumptions &amp; Data'!R588</f>
        <v>199002</v>
      </c>
      <c r="U454" s="37" t="n">
        <f aca="false">'Assumptions &amp; Data'!S588</f>
        <v>203753</v>
      </c>
      <c r="V454" s="39" t="n">
        <f aca="false">Q454-R454-S454-T454-U454</f>
        <v>883964.570635324</v>
      </c>
      <c r="W454" s="39" t="n">
        <f aca="false">DAY(EOMONTH(C454,0))</f>
        <v>30</v>
      </c>
      <c r="X454" s="40" t="n">
        <f aca="false">E454/W454</f>
        <v>1461.73333333333</v>
      </c>
      <c r="Y454" s="39" t="n">
        <f aca="false">R454+S454+T454+U454</f>
        <v>2050455</v>
      </c>
    </row>
    <row r="455" customFormat="false" ht="15" hidden="false" customHeight="false" outlineLevel="0" collapsed="false">
      <c r="A455" s="37" t="str">
        <f aca="false">'Assumptions &amp; Data'!A589</f>
        <v>SM0385</v>
      </c>
      <c r="B455" s="37" t="str">
        <f aca="false">'Assumptions &amp; Data'!B589</f>
        <v>DS033</v>
      </c>
      <c r="C455" s="38" t="n">
        <f aca="false">'Assumptions &amp; Data'!C589</f>
        <v>45931</v>
      </c>
      <c r="D455" s="39" t="str">
        <f aca="false">INDEX('Assumptions &amp; Data'!$B$142:$B$201,MATCH(B455,'Assumptions &amp; Data'!$A$142:$A$201,0))</f>
        <v>Bengaluru</v>
      </c>
      <c r="E455" s="37" t="n">
        <f aca="false">'Assumptions &amp; Data'!D589</f>
        <v>27556</v>
      </c>
      <c r="F455" s="39" t="n">
        <f aca="false">E455*'Assumptions &amp; Data'!E589</f>
        <v>20204059.2</v>
      </c>
      <c r="G455" s="39" t="n">
        <f aca="false">F455*'Assumptions &amp; Data'!F589</f>
        <v>1111223.256</v>
      </c>
      <c r="H455" s="39" t="n">
        <f aca="false">F455-G455</f>
        <v>19092835.944</v>
      </c>
      <c r="I455" s="39" t="n">
        <f aca="false">H455*'Assumptions &amp; Data'!G589</f>
        <v>3148408.6471656</v>
      </c>
      <c r="J455" s="39" t="n">
        <f aca="false">E455*'Assumptions &amp; Data'!H589</f>
        <v>318547.36</v>
      </c>
      <c r="K455" s="39" t="n">
        <f aca="false">H455*'Assumptions &amp; Data'!I589</f>
        <v>540327.2572152</v>
      </c>
      <c r="L455" s="39" t="n">
        <f aca="false">H455*'Assumptions &amp; Data'!J589</f>
        <v>446772.3610896</v>
      </c>
      <c r="M455" s="39" t="n">
        <f aca="false">I455+J455+K455-L455</f>
        <v>3560510.9032912</v>
      </c>
      <c r="N455" s="39" t="n">
        <f aca="false">E455*'Assumptions &amp; Data'!N589</f>
        <v>1231477.64</v>
      </c>
      <c r="O455" s="39" t="n">
        <f aca="false">E455*'Assumptions &amp; Data'!O589</f>
        <v>297329.24</v>
      </c>
      <c r="P455" s="39" t="n">
        <f aca="false">H455*'Assumptions &amp; Data'!P589</f>
        <v>196656.2102232</v>
      </c>
      <c r="Q455" s="39" t="n">
        <f aca="false">M455-N455-O455-P455</f>
        <v>1835047.813068</v>
      </c>
      <c r="R455" s="39" t="n">
        <f aca="false">'Assumptions &amp; Data'!L589*'Assumptions &amp; Data'!M589</f>
        <v>418000</v>
      </c>
      <c r="S455" s="37" t="n">
        <f aca="false">'Assumptions &amp; Data'!Q589</f>
        <v>459000</v>
      </c>
      <c r="T455" s="37" t="n">
        <f aca="false">'Assumptions &amp; Data'!R589</f>
        <v>179833</v>
      </c>
      <c r="U455" s="37" t="n">
        <f aca="false">'Assumptions &amp; Data'!S589</f>
        <v>158020</v>
      </c>
      <c r="V455" s="39" t="n">
        <f aca="false">Q455-R455-S455-T455-U455</f>
        <v>620194.813068</v>
      </c>
      <c r="W455" s="39" t="n">
        <f aca="false">DAY(EOMONTH(C455,0))</f>
        <v>31</v>
      </c>
      <c r="X455" s="40" t="n">
        <f aca="false">E455/W455</f>
        <v>888.903225806452</v>
      </c>
      <c r="Y455" s="39" t="n">
        <f aca="false">R455+S455+T455+U455</f>
        <v>1214853</v>
      </c>
    </row>
    <row r="456" customFormat="false" ht="15" hidden="false" customHeight="false" outlineLevel="0" collapsed="false">
      <c r="A456" s="37" t="str">
        <f aca="false">'Assumptions &amp; Data'!A590</f>
        <v>SM0386</v>
      </c>
      <c r="B456" s="37" t="str">
        <f aca="false">'Assumptions &amp; Data'!B590</f>
        <v>DS033</v>
      </c>
      <c r="C456" s="38" t="n">
        <f aca="false">'Assumptions &amp; Data'!C590</f>
        <v>45962</v>
      </c>
      <c r="D456" s="39" t="str">
        <f aca="false">INDEX('Assumptions &amp; Data'!$B$142:$B$201,MATCH(B456,'Assumptions &amp; Data'!$A$142:$A$201,0))</f>
        <v>Bengaluru</v>
      </c>
      <c r="E456" s="37" t="n">
        <f aca="false">'Assumptions &amp; Data'!D590</f>
        <v>29828</v>
      </c>
      <c r="F456" s="39" t="n">
        <f aca="false">E456*'Assumptions &amp; Data'!E590</f>
        <v>20903462.4</v>
      </c>
      <c r="G456" s="39" t="n">
        <f aca="false">F456*'Assumptions &amp; Data'!F590</f>
        <v>1097431.776</v>
      </c>
      <c r="H456" s="39" t="n">
        <f aca="false">F456-G456</f>
        <v>19806030.624</v>
      </c>
      <c r="I456" s="39" t="n">
        <f aca="false">H456*'Assumptions &amp; Data'!G590</f>
        <v>3347219.175456</v>
      </c>
      <c r="J456" s="39" t="n">
        <f aca="false">E456*'Assumptions &amp; Data'!H590</f>
        <v>346601.36</v>
      </c>
      <c r="K456" s="39" t="n">
        <f aca="false">H456*'Assumptions &amp; Data'!I590</f>
        <v>586258.5064704</v>
      </c>
      <c r="L456" s="39" t="n">
        <f aca="false">H456*'Assumptions &amp; Data'!J590</f>
        <v>467422.3227264</v>
      </c>
      <c r="M456" s="39" t="n">
        <f aca="false">I456+J456+K456-L456</f>
        <v>3812656.7192</v>
      </c>
      <c r="N456" s="39" t="n">
        <f aca="false">E456*'Assumptions &amp; Data'!N590</f>
        <v>1288271.32</v>
      </c>
      <c r="O456" s="39" t="n">
        <f aca="false">E456*'Assumptions &amp; Data'!O590</f>
        <v>319159.6</v>
      </c>
      <c r="P456" s="39" t="n">
        <f aca="false">H456*'Assumptions &amp; Data'!P590</f>
        <v>202021.5123648</v>
      </c>
      <c r="Q456" s="39" t="n">
        <f aca="false">M456-N456-O456-P456</f>
        <v>2003204.2868352</v>
      </c>
      <c r="R456" s="39" t="n">
        <f aca="false">'Assumptions &amp; Data'!L590*'Assumptions &amp; Data'!M590</f>
        <v>462420</v>
      </c>
      <c r="S456" s="37" t="n">
        <f aca="false">'Assumptions &amp; Data'!Q590</f>
        <v>459000</v>
      </c>
      <c r="T456" s="37" t="n">
        <f aca="false">'Assumptions &amp; Data'!R590</f>
        <v>184718</v>
      </c>
      <c r="U456" s="37" t="n">
        <f aca="false">'Assumptions &amp; Data'!S590</f>
        <v>148572</v>
      </c>
      <c r="V456" s="39" t="n">
        <f aca="false">Q456-R456-S456-T456-U456</f>
        <v>748494.2868352</v>
      </c>
      <c r="W456" s="39" t="n">
        <f aca="false">DAY(EOMONTH(C456,0))</f>
        <v>30</v>
      </c>
      <c r="X456" s="40" t="n">
        <f aca="false">E456/W456</f>
        <v>994.266666666667</v>
      </c>
      <c r="Y456" s="39" t="n">
        <f aca="false">R456+S456+T456+U456</f>
        <v>1254710</v>
      </c>
    </row>
    <row r="457" customFormat="false" ht="15" hidden="false" customHeight="false" outlineLevel="0" collapsed="false">
      <c r="A457" s="37" t="str">
        <f aca="false">'Assumptions &amp; Data'!A591</f>
        <v>SM0387</v>
      </c>
      <c r="B457" s="37" t="str">
        <f aca="false">'Assumptions &amp; Data'!B591</f>
        <v>DS033</v>
      </c>
      <c r="C457" s="38" t="n">
        <f aca="false">'Assumptions &amp; Data'!C591</f>
        <v>45992</v>
      </c>
      <c r="D457" s="39" t="str">
        <f aca="false">INDEX('Assumptions &amp; Data'!$B$142:$B$201,MATCH(B457,'Assumptions &amp; Data'!$A$142:$A$201,0))</f>
        <v>Bengaluru</v>
      </c>
      <c r="E457" s="37" t="n">
        <f aca="false">'Assumptions &amp; Data'!D591</f>
        <v>29646</v>
      </c>
      <c r="F457" s="39" t="n">
        <f aca="false">E457*'Assumptions &amp; Data'!E591</f>
        <v>21434058</v>
      </c>
      <c r="G457" s="39" t="n">
        <f aca="false">F457*'Assumptions &amp; Data'!F591</f>
        <v>1121001.2334</v>
      </c>
      <c r="H457" s="39" t="n">
        <f aca="false">F457-G457</f>
        <v>20313056.7666</v>
      </c>
      <c r="I457" s="39" t="n">
        <f aca="false">H457*'Assumptions &amp; Data'!G591</f>
        <v>3451188.34464534</v>
      </c>
      <c r="J457" s="39" t="n">
        <f aca="false">E457*'Assumptions &amp; Data'!H591</f>
        <v>334999.8</v>
      </c>
      <c r="K457" s="39" t="n">
        <f aca="false">H457*'Assumptions &amp; Data'!I591</f>
        <v>589078.6462314</v>
      </c>
      <c r="L457" s="39" t="n">
        <f aca="false">H457*'Assumptions &amp; Data'!J591</f>
        <v>483450.75104508</v>
      </c>
      <c r="M457" s="39" t="n">
        <f aca="false">I457+J457+K457-L457</f>
        <v>3891816.03983166</v>
      </c>
      <c r="N457" s="39" t="n">
        <f aca="false">E457*'Assumptions &amp; Data'!N591</f>
        <v>1292862.06</v>
      </c>
      <c r="O457" s="39" t="n">
        <f aca="false">E457*'Assumptions &amp; Data'!O591</f>
        <v>308911.32</v>
      </c>
      <c r="P457" s="39" t="n">
        <f aca="false">H457*'Assumptions &amp; Data'!P591</f>
        <v>203130.567666</v>
      </c>
      <c r="Q457" s="39" t="n">
        <f aca="false">M457-N457-O457-P457</f>
        <v>2086912.09216566</v>
      </c>
      <c r="R457" s="39" t="n">
        <f aca="false">'Assumptions &amp; Data'!L591*'Assumptions &amp; Data'!M591</f>
        <v>462840</v>
      </c>
      <c r="S457" s="37" t="n">
        <f aca="false">'Assumptions &amp; Data'!Q591</f>
        <v>459000</v>
      </c>
      <c r="T457" s="37" t="n">
        <f aca="false">'Assumptions &amp; Data'!R591</f>
        <v>183630</v>
      </c>
      <c r="U457" s="37" t="n">
        <f aca="false">'Assumptions &amp; Data'!S591</f>
        <v>146700</v>
      </c>
      <c r="V457" s="39" t="n">
        <f aca="false">Q457-R457-S457-T457-U457</f>
        <v>834742.09216566</v>
      </c>
      <c r="W457" s="39" t="n">
        <f aca="false">DAY(EOMONTH(C457,0))</f>
        <v>31</v>
      </c>
      <c r="X457" s="40" t="n">
        <f aca="false">E457/W457</f>
        <v>956.322580645161</v>
      </c>
      <c r="Y457" s="39" t="n">
        <f aca="false">R457+S457+T457+U457</f>
        <v>1252170</v>
      </c>
    </row>
    <row r="458" customFormat="false" ht="15" hidden="false" customHeight="false" outlineLevel="0" collapsed="false">
      <c r="A458" s="37" t="str">
        <f aca="false">'Assumptions &amp; Data'!A592</f>
        <v>SM0388</v>
      </c>
      <c r="B458" s="37" t="str">
        <f aca="false">'Assumptions &amp; Data'!B592</f>
        <v>DS033</v>
      </c>
      <c r="C458" s="38" t="n">
        <f aca="false">'Assumptions &amp; Data'!C592</f>
        <v>46023</v>
      </c>
      <c r="D458" s="39" t="str">
        <f aca="false">INDEX('Assumptions &amp; Data'!$B$142:$B$201,MATCH(B458,'Assumptions &amp; Data'!$A$142:$A$201,0))</f>
        <v>Bengaluru</v>
      </c>
      <c r="E458" s="37" t="n">
        <f aca="false">'Assumptions &amp; Data'!D592</f>
        <v>25764</v>
      </c>
      <c r="F458" s="39" t="n">
        <f aca="false">E458*'Assumptions &amp; Data'!E592</f>
        <v>18799990.8</v>
      </c>
      <c r="G458" s="39" t="n">
        <f aca="false">F458*'Assumptions &amp; Data'!F592</f>
        <v>958799.5308</v>
      </c>
      <c r="H458" s="39" t="n">
        <f aca="false">F458-G458</f>
        <v>17841191.2692</v>
      </c>
      <c r="I458" s="39" t="n">
        <f aca="false">H458*'Assumptions &amp; Data'!G592</f>
        <v>2977694.82282948</v>
      </c>
      <c r="J458" s="39" t="n">
        <f aca="false">E458*'Assumptions &amp; Data'!H592</f>
        <v>292163.76</v>
      </c>
      <c r="K458" s="39" t="n">
        <f aca="false">H458*'Assumptions &amp; Data'!I592</f>
        <v>442461.54347616</v>
      </c>
      <c r="L458" s="39" t="n">
        <f aca="false">H458*'Assumptions &amp; Data'!J592</f>
        <v>429972.70958772</v>
      </c>
      <c r="M458" s="39" t="n">
        <f aca="false">I458+J458+K458-L458</f>
        <v>3282347.41671792</v>
      </c>
      <c r="N458" s="39" t="n">
        <f aca="false">E458*'Assumptions &amp; Data'!N592</f>
        <v>1166336.28</v>
      </c>
      <c r="O458" s="39" t="n">
        <f aca="false">E458*'Assumptions &amp; Data'!O592</f>
        <v>271552.56</v>
      </c>
      <c r="P458" s="39" t="n">
        <f aca="false">H458*'Assumptions &amp; Data'!P592</f>
        <v>169491.3170574</v>
      </c>
      <c r="Q458" s="39" t="n">
        <f aca="false">M458-N458-O458-P458</f>
        <v>1674967.25966052</v>
      </c>
      <c r="R458" s="39" t="n">
        <f aca="false">'Assumptions &amp; Data'!L592*'Assumptions &amp; Data'!M592</f>
        <v>375020</v>
      </c>
      <c r="S458" s="37" t="n">
        <f aca="false">'Assumptions &amp; Data'!Q592</f>
        <v>459000</v>
      </c>
      <c r="T458" s="37" t="n">
        <f aca="false">'Assumptions &amp; Data'!R592</f>
        <v>174607</v>
      </c>
      <c r="U458" s="37" t="n">
        <f aca="false">'Assumptions &amp; Data'!S592</f>
        <v>124922</v>
      </c>
      <c r="V458" s="39" t="n">
        <f aca="false">Q458-R458-S458-T458-U458</f>
        <v>541418.25966052</v>
      </c>
      <c r="W458" s="39" t="n">
        <f aca="false">DAY(EOMONTH(C458,0))</f>
        <v>31</v>
      </c>
      <c r="X458" s="40" t="n">
        <f aca="false">E458/W458</f>
        <v>831.096774193548</v>
      </c>
      <c r="Y458" s="39" t="n">
        <f aca="false">R458+S458+T458+U458</f>
        <v>1133549</v>
      </c>
    </row>
    <row r="459" customFormat="false" ht="15" hidden="false" customHeight="false" outlineLevel="0" collapsed="false">
      <c r="A459" s="37" t="str">
        <f aca="false">'Assumptions &amp; Data'!A593</f>
        <v>SM0389</v>
      </c>
      <c r="B459" s="37" t="str">
        <f aca="false">'Assumptions &amp; Data'!B593</f>
        <v>DS033</v>
      </c>
      <c r="C459" s="38" t="n">
        <f aca="false">'Assumptions &amp; Data'!C593</f>
        <v>46054</v>
      </c>
      <c r="D459" s="39" t="str">
        <f aca="false">INDEX('Assumptions &amp; Data'!$B$142:$B$201,MATCH(B459,'Assumptions &amp; Data'!$A$142:$A$201,0))</f>
        <v>Bengaluru</v>
      </c>
      <c r="E459" s="37" t="n">
        <f aca="false">'Assumptions &amp; Data'!D593</f>
        <v>23227</v>
      </c>
      <c r="F459" s="39" t="n">
        <f aca="false">E459*'Assumptions &amp; Data'!E593</f>
        <v>17264629.1</v>
      </c>
      <c r="G459" s="39" t="n">
        <f aca="false">F459*'Assumptions &amp; Data'!F593</f>
        <v>889128.39865</v>
      </c>
      <c r="H459" s="39" t="n">
        <f aca="false">F459-G459</f>
        <v>16375500.70135</v>
      </c>
      <c r="I459" s="39" t="n">
        <f aca="false">H459*'Assumptions &amp; Data'!G593</f>
        <v>2697044.96551235</v>
      </c>
      <c r="J459" s="39" t="n">
        <f aca="false">E459*'Assumptions &amp; Data'!H593</f>
        <v>252709.76</v>
      </c>
      <c r="K459" s="39" t="n">
        <f aca="false">H459*'Assumptions &amp; Data'!I593</f>
        <v>463426.669848205</v>
      </c>
      <c r="L459" s="39" t="n">
        <f aca="false">H459*'Assumptions &amp; Data'!J593</f>
        <v>407749.967463615</v>
      </c>
      <c r="M459" s="39" t="n">
        <f aca="false">I459+J459+K459-L459</f>
        <v>3005431.42789694</v>
      </c>
      <c r="N459" s="39" t="n">
        <f aca="false">E459*'Assumptions &amp; Data'!N593</f>
        <v>1046376.35</v>
      </c>
      <c r="O459" s="39" t="n">
        <f aca="false">E459*'Assumptions &amp; Data'!O593</f>
        <v>258284.24</v>
      </c>
      <c r="P459" s="39" t="n">
        <f aca="false">H459*'Assumptions &amp; Data'!P593</f>
        <v>160479.90687323</v>
      </c>
      <c r="Q459" s="39" t="n">
        <f aca="false">M459-N459-O459-P459</f>
        <v>1540290.93102371</v>
      </c>
      <c r="R459" s="39" t="n">
        <f aca="false">'Assumptions &amp; Data'!L593*'Assumptions &amp; Data'!M593</f>
        <v>375360</v>
      </c>
      <c r="S459" s="37" t="n">
        <f aca="false">'Assumptions &amp; Data'!Q593</f>
        <v>459000</v>
      </c>
      <c r="T459" s="37" t="n">
        <f aca="false">'Assumptions &amp; Data'!R593</f>
        <v>175648</v>
      </c>
      <c r="U459" s="37" t="n">
        <f aca="false">'Assumptions &amp; Data'!S593</f>
        <v>127298</v>
      </c>
      <c r="V459" s="39" t="n">
        <f aca="false">Q459-R459-S459-T459-U459</f>
        <v>402984.931023706</v>
      </c>
      <c r="W459" s="39" t="n">
        <f aca="false">DAY(EOMONTH(C459,0))</f>
        <v>28</v>
      </c>
      <c r="X459" s="40" t="n">
        <f aca="false">E459/W459</f>
        <v>829.535714285714</v>
      </c>
      <c r="Y459" s="39" t="n">
        <f aca="false">R459+S459+T459+U459</f>
        <v>1137306</v>
      </c>
    </row>
    <row r="460" customFormat="false" ht="15" hidden="false" customHeight="false" outlineLevel="0" collapsed="false">
      <c r="A460" s="37" t="str">
        <f aca="false">'Assumptions &amp; Data'!A594</f>
        <v>SM0390</v>
      </c>
      <c r="B460" s="37" t="str">
        <f aca="false">'Assumptions &amp; Data'!B594</f>
        <v>DS033</v>
      </c>
      <c r="C460" s="38" t="n">
        <f aca="false">'Assumptions &amp; Data'!C594</f>
        <v>46082</v>
      </c>
      <c r="D460" s="39" t="str">
        <f aca="false">INDEX('Assumptions &amp; Data'!$B$142:$B$201,MATCH(B460,'Assumptions &amp; Data'!$A$142:$A$201,0))</f>
        <v>Bengaluru</v>
      </c>
      <c r="E460" s="37" t="n">
        <f aca="false">'Assumptions &amp; Data'!D594</f>
        <v>28473</v>
      </c>
      <c r="F460" s="39" t="n">
        <f aca="false">E460*'Assumptions &amp; Data'!E594</f>
        <v>20637230.4</v>
      </c>
      <c r="G460" s="39" t="n">
        <f aca="false">F460*'Assumptions &amp; Data'!F594</f>
        <v>1017415.45872</v>
      </c>
      <c r="H460" s="39" t="n">
        <f aca="false">F460-G460</f>
        <v>19619814.94128</v>
      </c>
      <c r="I460" s="39" t="n">
        <f aca="false">H460*'Assumptions &amp; Data'!G594</f>
        <v>3286319.0026644</v>
      </c>
      <c r="J460" s="39" t="n">
        <f aca="false">E460*'Assumptions &amp; Data'!H594</f>
        <v>347370.6</v>
      </c>
      <c r="K460" s="39" t="n">
        <f aca="false">H460*'Assumptions &amp; Data'!I594</f>
        <v>484609.429049616</v>
      </c>
      <c r="L460" s="39" t="n">
        <f aca="false">H460*'Assumptions &amp; Data'!J594</f>
        <v>449293.762155312</v>
      </c>
      <c r="M460" s="39" t="n">
        <f aca="false">I460+J460+K460-L460</f>
        <v>3669005.2695587</v>
      </c>
      <c r="N460" s="39" t="n">
        <f aca="false">E460*'Assumptions &amp; Data'!N594</f>
        <v>1241138.07</v>
      </c>
      <c r="O460" s="39" t="n">
        <f aca="false">E460*'Assumptions &amp; Data'!O594</f>
        <v>298112.31</v>
      </c>
      <c r="P460" s="39" t="n">
        <f aca="false">H460*'Assumptions &amp; Data'!P594</f>
        <v>200122.112401056</v>
      </c>
      <c r="Q460" s="39" t="n">
        <f aca="false">M460-N460-O460-P460</f>
        <v>1929632.77715765</v>
      </c>
      <c r="R460" s="39" t="n">
        <f aca="false">'Assumptions &amp; Data'!L594*'Assumptions &amp; Data'!M594</f>
        <v>442000</v>
      </c>
      <c r="S460" s="37" t="n">
        <f aca="false">'Assumptions &amp; Data'!Q594</f>
        <v>459000</v>
      </c>
      <c r="T460" s="37" t="n">
        <f aca="false">'Assumptions &amp; Data'!R594</f>
        <v>179914</v>
      </c>
      <c r="U460" s="37" t="n">
        <f aca="false">'Assumptions &amp; Data'!S594</f>
        <v>145965</v>
      </c>
      <c r="V460" s="39" t="n">
        <f aca="false">Q460-R460-S460-T460-U460</f>
        <v>702753.777157648</v>
      </c>
      <c r="W460" s="39" t="n">
        <f aca="false">DAY(EOMONTH(C460,0))</f>
        <v>31</v>
      </c>
      <c r="X460" s="40" t="n">
        <f aca="false">E460/W460</f>
        <v>918.483870967742</v>
      </c>
      <c r="Y460" s="39" t="n">
        <f aca="false">R460+S460+T460+U460</f>
        <v>1226879</v>
      </c>
    </row>
    <row r="461" customFormat="false" ht="15" hidden="false" customHeight="false" outlineLevel="0" collapsed="false">
      <c r="A461" s="37" t="str">
        <f aca="false">'Assumptions &amp; Data'!A595</f>
        <v>SM0391</v>
      </c>
      <c r="B461" s="37" t="str">
        <f aca="false">'Assumptions &amp; Data'!B595</f>
        <v>DS033</v>
      </c>
      <c r="C461" s="38" t="n">
        <f aca="false">'Assumptions &amp; Data'!C595</f>
        <v>46113</v>
      </c>
      <c r="D461" s="39" t="str">
        <f aca="false">INDEX('Assumptions &amp; Data'!$B$142:$B$201,MATCH(B461,'Assumptions &amp; Data'!$A$142:$A$201,0))</f>
        <v>Bengaluru</v>
      </c>
      <c r="E461" s="37" t="n">
        <f aca="false">'Assumptions &amp; Data'!D595</f>
        <v>28066</v>
      </c>
      <c r="F461" s="39" t="n">
        <f aca="false">E461*'Assumptions &amp; Data'!E595</f>
        <v>20311364.2</v>
      </c>
      <c r="G461" s="39" t="n">
        <f aca="false">F461*'Assumptions &amp; Data'!F595</f>
        <v>993225.70938</v>
      </c>
      <c r="H461" s="39" t="n">
        <f aca="false">F461-G461</f>
        <v>19318138.49062</v>
      </c>
      <c r="I461" s="39" t="n">
        <f aca="false">H461*'Assumptions &amp; Data'!G595</f>
        <v>3210674.61714104</v>
      </c>
      <c r="J461" s="39" t="n">
        <f aca="false">E461*'Assumptions &amp; Data'!H595</f>
        <v>349141.04</v>
      </c>
      <c r="K461" s="39" t="n">
        <f aca="false">H461*'Assumptions &amp; Data'!I595</f>
        <v>533180.622341112</v>
      </c>
      <c r="L461" s="39" t="n">
        <f aca="false">H461*'Assumptions &amp; Data'!J595</f>
        <v>444317.18528426</v>
      </c>
      <c r="M461" s="39" t="n">
        <f aca="false">I461+J461+K461-L461</f>
        <v>3648679.0941979</v>
      </c>
      <c r="N461" s="39" t="n">
        <f aca="false">E461*'Assumptions &amp; Data'!N595</f>
        <v>1235465.32</v>
      </c>
      <c r="O461" s="39" t="n">
        <f aca="false">E461*'Assumptions &amp; Data'!O595</f>
        <v>297499.6</v>
      </c>
      <c r="P461" s="39" t="n">
        <f aca="false">H461*'Assumptions &amp; Data'!P595</f>
        <v>197045.012604324</v>
      </c>
      <c r="Q461" s="39" t="n">
        <f aca="false">M461-N461-O461-P461</f>
        <v>1918669.16159357</v>
      </c>
      <c r="R461" s="39" t="n">
        <f aca="false">'Assumptions &amp; Data'!L595*'Assumptions &amp; Data'!M595</f>
        <v>442400</v>
      </c>
      <c r="S461" s="37" t="n">
        <f aca="false">'Assumptions &amp; Data'!Q595</f>
        <v>459000</v>
      </c>
      <c r="T461" s="37" t="n">
        <f aca="false">'Assumptions &amp; Data'!R595</f>
        <v>176974</v>
      </c>
      <c r="U461" s="37" t="n">
        <f aca="false">'Assumptions &amp; Data'!S595</f>
        <v>155320</v>
      </c>
      <c r="V461" s="39" t="n">
        <f aca="false">Q461-R461-S461-T461-U461</f>
        <v>684975.161593572</v>
      </c>
      <c r="W461" s="39" t="n">
        <f aca="false">DAY(EOMONTH(C461,0))</f>
        <v>30</v>
      </c>
      <c r="X461" s="40" t="n">
        <f aca="false">E461/W461</f>
        <v>935.533333333333</v>
      </c>
      <c r="Y461" s="39" t="n">
        <f aca="false">R461+S461+T461+U461</f>
        <v>1233694</v>
      </c>
    </row>
    <row r="462" customFormat="false" ht="15" hidden="false" customHeight="false" outlineLevel="0" collapsed="false">
      <c r="A462" s="37" t="str">
        <f aca="false">'Assumptions &amp; Data'!A596</f>
        <v>SM0392</v>
      </c>
      <c r="B462" s="37" t="str">
        <f aca="false">'Assumptions &amp; Data'!B596</f>
        <v>DS033</v>
      </c>
      <c r="C462" s="38" t="n">
        <f aca="false">'Assumptions &amp; Data'!C596</f>
        <v>46143</v>
      </c>
      <c r="D462" s="39" t="str">
        <f aca="false">INDEX('Assumptions &amp; Data'!$B$142:$B$201,MATCH(B462,'Assumptions &amp; Data'!$A$142:$A$201,0))</f>
        <v>Bengaluru</v>
      </c>
      <c r="E462" s="37" t="n">
        <f aca="false">'Assumptions &amp; Data'!D596</f>
        <v>29850</v>
      </c>
      <c r="F462" s="39" t="n">
        <f aca="false">E462*'Assumptions &amp; Data'!E596</f>
        <v>22062135</v>
      </c>
      <c r="G462" s="39" t="n">
        <f aca="false">F462*'Assumptions &amp; Data'!F596</f>
        <v>1131787.5255</v>
      </c>
      <c r="H462" s="39" t="n">
        <f aca="false">F462-G462</f>
        <v>20930347.4745</v>
      </c>
      <c r="I462" s="39" t="n">
        <f aca="false">H462*'Assumptions &amp; Data'!G596</f>
        <v>3570717.2791497</v>
      </c>
      <c r="J462" s="39" t="n">
        <f aca="false">E462*'Assumptions &amp; Data'!H596</f>
        <v>347752.5</v>
      </c>
      <c r="K462" s="39" t="n">
        <f aca="false">H462*'Assumptions &amp; Data'!I596</f>
        <v>590235.7987809</v>
      </c>
      <c r="L462" s="39" t="n">
        <f aca="false">H462*'Assumptions &amp; Data'!J596</f>
        <v>512793.51312525</v>
      </c>
      <c r="M462" s="39" t="n">
        <f aca="false">I462+J462+K462-L462</f>
        <v>3995912.06480535</v>
      </c>
      <c r="N462" s="39" t="n">
        <f aca="false">E462*'Assumptions &amp; Data'!N596</f>
        <v>1304445</v>
      </c>
      <c r="O462" s="39" t="n">
        <f aca="false">E462*'Assumptions &amp; Data'!O596</f>
        <v>319693.5</v>
      </c>
      <c r="P462" s="39" t="n">
        <f aca="false">H462*'Assumptions &amp; Data'!P596</f>
        <v>215582.57898735</v>
      </c>
      <c r="Q462" s="39" t="n">
        <f aca="false">M462-N462-O462-P462</f>
        <v>2156190.985818</v>
      </c>
      <c r="R462" s="39" t="n">
        <f aca="false">'Assumptions &amp; Data'!L596*'Assumptions &amp; Data'!M596</f>
        <v>464940</v>
      </c>
      <c r="S462" s="37" t="n">
        <f aca="false">'Assumptions &amp; Data'!Q596</f>
        <v>459000</v>
      </c>
      <c r="T462" s="37" t="n">
        <f aca="false">'Assumptions &amp; Data'!R596</f>
        <v>186026</v>
      </c>
      <c r="U462" s="37" t="n">
        <f aca="false">'Assumptions &amp; Data'!S596</f>
        <v>148405</v>
      </c>
      <c r="V462" s="39" t="n">
        <f aca="false">Q462-R462-S462-T462-U462</f>
        <v>897819.985817999</v>
      </c>
      <c r="W462" s="39" t="n">
        <f aca="false">DAY(EOMONTH(C462,0))</f>
        <v>31</v>
      </c>
      <c r="X462" s="40" t="n">
        <f aca="false">E462/W462</f>
        <v>962.903225806452</v>
      </c>
      <c r="Y462" s="39" t="n">
        <f aca="false">R462+S462+T462+U462</f>
        <v>1258371</v>
      </c>
    </row>
    <row r="463" customFormat="false" ht="15" hidden="false" customHeight="false" outlineLevel="0" collapsed="false">
      <c r="A463" s="37" t="str">
        <f aca="false">'Assumptions &amp; Data'!A597</f>
        <v>SM0393</v>
      </c>
      <c r="B463" s="37" t="str">
        <f aca="false">'Assumptions &amp; Data'!B597</f>
        <v>DS033</v>
      </c>
      <c r="C463" s="38" t="n">
        <f aca="false">'Assumptions &amp; Data'!C597</f>
        <v>46174</v>
      </c>
      <c r="D463" s="39" t="str">
        <f aca="false">INDEX('Assumptions &amp; Data'!$B$142:$B$201,MATCH(B463,'Assumptions &amp; Data'!$A$142:$A$201,0))</f>
        <v>Bengaluru</v>
      </c>
      <c r="E463" s="37" t="n">
        <f aca="false">'Assumptions &amp; Data'!D597</f>
        <v>28859</v>
      </c>
      <c r="F463" s="39" t="n">
        <f aca="false">E463*'Assumptions &amp; Data'!E597</f>
        <v>21828947.6</v>
      </c>
      <c r="G463" s="39" t="n">
        <f aca="false">F463*'Assumptions &amp; Data'!F597</f>
        <v>1194043.43372</v>
      </c>
      <c r="H463" s="39" t="n">
        <f aca="false">F463-G463</f>
        <v>20634904.16628</v>
      </c>
      <c r="I463" s="39" t="n">
        <f aca="false">H463*'Assumptions &amp; Data'!G597</f>
        <v>3429521.07243574</v>
      </c>
      <c r="J463" s="39" t="n">
        <f aca="false">E463*'Assumptions &amp; Data'!H597</f>
        <v>319757.72</v>
      </c>
      <c r="K463" s="39" t="n">
        <f aca="false">H463*'Assumptions &amp; Data'!I597</f>
        <v>569523.354989328</v>
      </c>
      <c r="L463" s="39" t="n">
        <f aca="false">H463*'Assumptions &amp; Data'!J597</f>
        <v>484920.24790758</v>
      </c>
      <c r="M463" s="39" t="n">
        <f aca="false">I463+J463+K463-L463</f>
        <v>3833881.89951748</v>
      </c>
      <c r="N463" s="39" t="n">
        <f aca="false">E463*'Assumptions &amp; Data'!N597</f>
        <v>1260272.53</v>
      </c>
      <c r="O463" s="39" t="n">
        <f aca="false">E463*'Assumptions &amp; Data'!O597</f>
        <v>303885.27</v>
      </c>
      <c r="P463" s="39" t="n">
        <f aca="false">H463*'Assumptions &amp; Data'!P597</f>
        <v>210476.022496056</v>
      </c>
      <c r="Q463" s="39" t="n">
        <f aca="false">M463-N463-O463-P463</f>
        <v>2059248.07702143</v>
      </c>
      <c r="R463" s="39" t="n">
        <f aca="false">'Assumptions &amp; Data'!L597*'Assumptions &amp; Data'!M597</f>
        <v>465360</v>
      </c>
      <c r="S463" s="37" t="n">
        <f aca="false">'Assumptions &amp; Data'!Q597</f>
        <v>459000</v>
      </c>
      <c r="T463" s="37" t="n">
        <f aca="false">'Assumptions &amp; Data'!R597</f>
        <v>172359</v>
      </c>
      <c r="U463" s="37" t="n">
        <f aca="false">'Assumptions &amp; Data'!S597</f>
        <v>143158</v>
      </c>
      <c r="V463" s="39" t="n">
        <f aca="false">Q463-R463-S463-T463-U463</f>
        <v>819371.077021427</v>
      </c>
      <c r="W463" s="39" t="n">
        <f aca="false">DAY(EOMONTH(C463,0))</f>
        <v>30</v>
      </c>
      <c r="X463" s="40" t="n">
        <f aca="false">E463/W463</f>
        <v>961.966666666667</v>
      </c>
      <c r="Y463" s="39" t="n">
        <f aca="false">R463+S463+T463+U463</f>
        <v>1239877</v>
      </c>
    </row>
    <row r="464" customFormat="false" ht="15" hidden="false" customHeight="false" outlineLevel="0" collapsed="false">
      <c r="A464" s="37" t="str">
        <f aca="false">'Assumptions &amp; Data'!A598</f>
        <v>SM0394</v>
      </c>
      <c r="B464" s="37" t="str">
        <f aca="false">'Assumptions &amp; Data'!B598</f>
        <v>DS033</v>
      </c>
      <c r="C464" s="38" t="n">
        <f aca="false">'Assumptions &amp; Data'!C598</f>
        <v>46204</v>
      </c>
      <c r="D464" s="39" t="str">
        <f aca="false">INDEX('Assumptions &amp; Data'!$B$142:$B$201,MATCH(B464,'Assumptions &amp; Data'!$A$142:$A$201,0))</f>
        <v>Bengaluru</v>
      </c>
      <c r="E464" s="37" t="n">
        <f aca="false">'Assumptions &amp; Data'!D598</f>
        <v>25564</v>
      </c>
      <c r="F464" s="39" t="n">
        <f aca="false">E464*'Assumptions &amp; Data'!E598</f>
        <v>18730742.8</v>
      </c>
      <c r="G464" s="39" t="n">
        <f aca="false">F464*'Assumptions &amp; Data'!F598</f>
        <v>1013333.18548</v>
      </c>
      <c r="H464" s="39" t="n">
        <f aca="false">F464-G464</f>
        <v>17717409.61452</v>
      </c>
      <c r="I464" s="39" t="n">
        <f aca="false">H464*'Assumptions &amp; Data'!G598</f>
        <v>2972981.33331646</v>
      </c>
      <c r="J464" s="39" t="n">
        <f aca="false">E464*'Assumptions &amp; Data'!H598</f>
        <v>295775.48</v>
      </c>
      <c r="K464" s="39" t="n">
        <f aca="false">H464*'Assumptions &amp; Data'!I598</f>
        <v>464196.131900424</v>
      </c>
      <c r="L464" s="39" t="n">
        <f aca="false">H464*'Assumptions &amp; Data'!J598</f>
        <v>442935.240363</v>
      </c>
      <c r="M464" s="39" t="n">
        <f aca="false">I464+J464+K464-L464</f>
        <v>3290017.70485388</v>
      </c>
      <c r="N464" s="39" t="n">
        <f aca="false">E464*'Assumptions &amp; Data'!N598</f>
        <v>1171342.48</v>
      </c>
      <c r="O464" s="39" t="n">
        <f aca="false">E464*'Assumptions &amp; Data'!O598</f>
        <v>270722.76</v>
      </c>
      <c r="P464" s="39" t="n">
        <f aca="false">H464*'Assumptions &amp; Data'!P598</f>
        <v>178945.837106652</v>
      </c>
      <c r="Q464" s="39" t="n">
        <f aca="false">M464-N464-O464-P464</f>
        <v>1669006.62774723</v>
      </c>
      <c r="R464" s="39" t="n">
        <f aca="false">'Assumptions &amp; Data'!L598*'Assumptions &amp; Data'!M598</f>
        <v>377060</v>
      </c>
      <c r="S464" s="37" t="n">
        <f aca="false">'Assumptions &amp; Data'!Q598</f>
        <v>459000</v>
      </c>
      <c r="T464" s="37" t="n">
        <f aca="false">'Assumptions &amp; Data'!R598</f>
        <v>163022</v>
      </c>
      <c r="U464" s="37" t="n">
        <f aca="false">'Assumptions &amp; Data'!S598</f>
        <v>120615</v>
      </c>
      <c r="V464" s="39" t="n">
        <f aca="false">Q464-R464-S464-T464-U464</f>
        <v>549309.627747229</v>
      </c>
      <c r="W464" s="39" t="n">
        <f aca="false">DAY(EOMONTH(C464,0))</f>
        <v>31</v>
      </c>
      <c r="X464" s="40" t="n">
        <f aca="false">E464/W464</f>
        <v>824.645161290323</v>
      </c>
      <c r="Y464" s="39" t="n">
        <f aca="false">R464+S464+T464+U464</f>
        <v>1119697</v>
      </c>
    </row>
    <row r="465" customFormat="false" ht="15" hidden="false" customHeight="false" outlineLevel="0" collapsed="false">
      <c r="A465" s="37" t="str">
        <f aca="false">'Assumptions &amp; Data'!A599</f>
        <v>SM0395</v>
      </c>
      <c r="B465" s="37" t="str">
        <f aca="false">'Assumptions &amp; Data'!B599</f>
        <v>DS033</v>
      </c>
      <c r="C465" s="38" t="n">
        <f aca="false">'Assumptions &amp; Data'!C599</f>
        <v>46235</v>
      </c>
      <c r="D465" s="39" t="str">
        <f aca="false">INDEX('Assumptions &amp; Data'!$B$142:$B$201,MATCH(B465,'Assumptions &amp; Data'!$A$142:$A$201,0))</f>
        <v>Bengaluru</v>
      </c>
      <c r="E465" s="37" t="n">
        <f aca="false">'Assumptions &amp; Data'!D599</f>
        <v>29833</v>
      </c>
      <c r="F465" s="39" t="n">
        <f aca="false">E465*'Assumptions &amp; Data'!E599</f>
        <v>22091336.5</v>
      </c>
      <c r="G465" s="39" t="n">
        <f aca="false">F465*'Assumptions &amp; Data'!F599</f>
        <v>1166422.5672</v>
      </c>
      <c r="H465" s="39" t="n">
        <f aca="false">F465-G465</f>
        <v>20924913.9328</v>
      </c>
      <c r="I465" s="39" t="n">
        <f aca="false">H465*'Assumptions &amp; Data'!G599</f>
        <v>3511200.55792384</v>
      </c>
      <c r="J465" s="39" t="n">
        <f aca="false">E465*'Assumptions &amp; Data'!H599</f>
        <v>361575.96</v>
      </c>
      <c r="K465" s="39" t="n">
        <f aca="false">H465*'Assumptions &amp; Data'!I599</f>
        <v>606822.5040512</v>
      </c>
      <c r="L465" s="39" t="n">
        <f aca="false">H465*'Assumptions &amp; Data'!J599</f>
        <v>498012.95160064</v>
      </c>
      <c r="M465" s="39" t="n">
        <f aca="false">I465+J465+K465-L465</f>
        <v>3981586.0703744</v>
      </c>
      <c r="N465" s="39" t="n">
        <f aca="false">E465*'Assumptions &amp; Data'!N599</f>
        <v>1332640.11</v>
      </c>
      <c r="O465" s="39" t="n">
        <f aca="false">E465*'Assumptions &amp; Data'!O599</f>
        <v>316826.46</v>
      </c>
      <c r="P465" s="39" t="n">
        <f aca="false">H465*'Assumptions &amp; Data'!P599</f>
        <v>213434.12211456</v>
      </c>
      <c r="Q465" s="39" t="n">
        <f aca="false">M465-N465-O465-P465</f>
        <v>2118685.37825984</v>
      </c>
      <c r="R465" s="39" t="n">
        <f aca="false">'Assumptions &amp; Data'!L599*'Assumptions &amp; Data'!M599</f>
        <v>421800</v>
      </c>
      <c r="S465" s="37" t="n">
        <f aca="false">'Assumptions &amp; Data'!Q599</f>
        <v>459000</v>
      </c>
      <c r="T465" s="37" t="n">
        <f aca="false">'Assumptions &amp; Data'!R599</f>
        <v>170829</v>
      </c>
      <c r="U465" s="37" t="n">
        <f aca="false">'Assumptions &amp; Data'!S599</f>
        <v>167731</v>
      </c>
      <c r="V465" s="39" t="n">
        <f aca="false">Q465-R465-S465-T465-U465</f>
        <v>899325.378259839</v>
      </c>
      <c r="W465" s="39" t="n">
        <f aca="false">DAY(EOMONTH(C465,0))</f>
        <v>31</v>
      </c>
      <c r="X465" s="40" t="n">
        <f aca="false">E465/W465</f>
        <v>962.354838709677</v>
      </c>
      <c r="Y465" s="39" t="n">
        <f aca="false">R465+S465+T465+U465</f>
        <v>1219360</v>
      </c>
    </row>
    <row r="466" customFormat="false" ht="15" hidden="false" customHeight="false" outlineLevel="0" collapsed="false">
      <c r="A466" s="37" t="str">
        <f aca="false">'Assumptions &amp; Data'!A600</f>
        <v>SM0396</v>
      </c>
      <c r="B466" s="37" t="str">
        <f aca="false">'Assumptions &amp; Data'!B600</f>
        <v>DS033</v>
      </c>
      <c r="C466" s="38" t="n">
        <f aca="false">'Assumptions &amp; Data'!C600</f>
        <v>46266</v>
      </c>
      <c r="D466" s="39" t="str">
        <f aca="false">INDEX('Assumptions &amp; Data'!$B$142:$B$201,MATCH(B466,'Assumptions &amp; Data'!$A$142:$A$201,0))</f>
        <v>Bengaluru</v>
      </c>
      <c r="E466" s="37" t="n">
        <f aca="false">'Assumptions &amp; Data'!D600</f>
        <v>29536</v>
      </c>
      <c r="F466" s="39" t="n">
        <f aca="false">E466*'Assumptions &amp; Data'!E600</f>
        <v>21809382.4</v>
      </c>
      <c r="G466" s="39" t="n">
        <f aca="false">F466*'Assumptions &amp; Data'!F600</f>
        <v>1138449.76128</v>
      </c>
      <c r="H466" s="39" t="n">
        <f aca="false">F466-G466</f>
        <v>20670932.63872</v>
      </c>
      <c r="I466" s="39" t="n">
        <f aca="false">H466*'Assumptions &amp; Data'!G600</f>
        <v>3406569.69886106</v>
      </c>
      <c r="J466" s="39" t="n">
        <f aca="false">E466*'Assumptions &amp; Data'!H600</f>
        <v>339368.64</v>
      </c>
      <c r="K466" s="39" t="n">
        <f aca="false">H466*'Assumptions &amp; Data'!I600</f>
        <v>597389.953259008</v>
      </c>
      <c r="L466" s="39" t="n">
        <f aca="false">H466*'Assumptions &amp; Data'!J600</f>
        <v>473364.357426688</v>
      </c>
      <c r="M466" s="39" t="n">
        <f aca="false">I466+J466+K466-L466</f>
        <v>3869963.93469338</v>
      </c>
      <c r="N466" s="39" t="n">
        <f aca="false">E466*'Assumptions &amp; Data'!N600</f>
        <v>1282453.12</v>
      </c>
      <c r="O466" s="39" t="n">
        <f aca="false">E466*'Assumptions &amp; Data'!O600</f>
        <v>321942.4</v>
      </c>
      <c r="P466" s="39" t="n">
        <f aca="false">H466*'Assumptions &amp; Data'!P600</f>
        <v>200508.046595584</v>
      </c>
      <c r="Q466" s="39" t="n">
        <f aca="false">M466-N466-O466-P466</f>
        <v>2065060.36809779</v>
      </c>
      <c r="R466" s="39" t="n">
        <f aca="false">'Assumptions &amp; Data'!L600*'Assumptions &amp; Data'!M600</f>
        <v>444400</v>
      </c>
      <c r="S466" s="37" t="n">
        <f aca="false">'Assumptions &amp; Data'!Q600</f>
        <v>459000</v>
      </c>
      <c r="T466" s="37" t="n">
        <f aca="false">'Assumptions &amp; Data'!R600</f>
        <v>174009</v>
      </c>
      <c r="U466" s="37" t="n">
        <f aca="false">'Assumptions &amp; Data'!S600</f>
        <v>173942</v>
      </c>
      <c r="V466" s="39" t="n">
        <f aca="false">Q466-R466-S466-T466-U466</f>
        <v>813709.368097792</v>
      </c>
      <c r="W466" s="39" t="n">
        <f aca="false">DAY(EOMONTH(C466,0))</f>
        <v>30</v>
      </c>
      <c r="X466" s="40" t="n">
        <f aca="false">E466/W466</f>
        <v>984.533333333333</v>
      </c>
      <c r="Y466" s="39" t="n">
        <f aca="false">R466+S466+T466+U466</f>
        <v>1251351</v>
      </c>
    </row>
    <row r="467" customFormat="false" ht="15" hidden="false" customHeight="false" outlineLevel="0" collapsed="false">
      <c r="A467" s="37" t="str">
        <f aca="false">'Assumptions &amp; Data'!A601</f>
        <v>SM0397</v>
      </c>
      <c r="B467" s="37" t="str">
        <f aca="false">'Assumptions &amp; Data'!B601</f>
        <v>DS034</v>
      </c>
      <c r="C467" s="38" t="n">
        <f aca="false">'Assumptions &amp; Data'!C601</f>
        <v>45931</v>
      </c>
      <c r="D467" s="39" t="str">
        <f aca="false">INDEX('Assumptions &amp; Data'!$B$142:$B$201,MATCH(B467,'Assumptions &amp; Data'!$A$142:$A$201,0))</f>
        <v>Bengaluru</v>
      </c>
      <c r="E467" s="37" t="n">
        <f aca="false">'Assumptions &amp; Data'!D601</f>
        <v>32381</v>
      </c>
      <c r="F467" s="39" t="n">
        <f aca="false">E467*'Assumptions &amp; Data'!E601</f>
        <v>20412982.4</v>
      </c>
      <c r="G467" s="39" t="n">
        <f aca="false">F467*'Assumptions &amp; Data'!F601</f>
        <v>983905.75168</v>
      </c>
      <c r="H467" s="39" t="n">
        <f aca="false">F467-G467</f>
        <v>19429076.64832</v>
      </c>
      <c r="I467" s="39" t="n">
        <f aca="false">H467*'Assumptions &amp; Data'!G601</f>
        <v>3266027.78458259</v>
      </c>
      <c r="J467" s="39" t="n">
        <f aca="false">E467*'Assumptions &amp; Data'!H601</f>
        <v>405733.93</v>
      </c>
      <c r="K467" s="39" t="n">
        <f aca="false">H467*'Assumptions &amp; Data'!I601</f>
        <v>538185.423158464</v>
      </c>
      <c r="L467" s="39" t="n">
        <f aca="false">H467*'Assumptions &amp; Data'!J601</f>
        <v>312808.134037952</v>
      </c>
      <c r="M467" s="39" t="n">
        <f aca="false">I467+J467+K467-L467</f>
        <v>3897139.0037031</v>
      </c>
      <c r="N467" s="39" t="n">
        <f aca="false">E467*'Assumptions &amp; Data'!N601</f>
        <v>1253792.32</v>
      </c>
      <c r="O467" s="39" t="n">
        <f aca="false">E467*'Assumptions &amp; Data'!O601</f>
        <v>333200.49</v>
      </c>
      <c r="P467" s="39" t="n">
        <f aca="false">H467*'Assumptions &amp; Data'!P601</f>
        <v>194290.7664832</v>
      </c>
      <c r="Q467" s="39" t="n">
        <f aca="false">M467-N467-O467-P467</f>
        <v>2115855.4272199</v>
      </c>
      <c r="R467" s="39" t="n">
        <f aca="false">'Assumptions &amp; Data'!L601*'Assumptions &amp; Data'!M601</f>
        <v>528000</v>
      </c>
      <c r="S467" s="37" t="n">
        <f aca="false">'Assumptions &amp; Data'!Q601</f>
        <v>553500</v>
      </c>
      <c r="T467" s="37" t="n">
        <f aca="false">'Assumptions &amp; Data'!R601</f>
        <v>181416</v>
      </c>
      <c r="U467" s="37" t="n">
        <f aca="false">'Assumptions &amp; Data'!S601</f>
        <v>152376</v>
      </c>
      <c r="V467" s="39" t="n">
        <f aca="false">Q467-R467-S467-T467-U467</f>
        <v>700563.427219903</v>
      </c>
      <c r="W467" s="39" t="n">
        <f aca="false">DAY(EOMONTH(C467,0))</f>
        <v>31</v>
      </c>
      <c r="X467" s="40" t="n">
        <f aca="false">E467/W467</f>
        <v>1044.54838709677</v>
      </c>
      <c r="Y467" s="39" t="n">
        <f aca="false">R467+S467+T467+U467</f>
        <v>1415292</v>
      </c>
    </row>
    <row r="468" customFormat="false" ht="15" hidden="false" customHeight="false" outlineLevel="0" collapsed="false">
      <c r="A468" s="37" t="str">
        <f aca="false">'Assumptions &amp; Data'!A602</f>
        <v>SM0398</v>
      </c>
      <c r="B468" s="37" t="str">
        <f aca="false">'Assumptions &amp; Data'!B602</f>
        <v>DS034</v>
      </c>
      <c r="C468" s="38" t="n">
        <f aca="false">'Assumptions &amp; Data'!C602</f>
        <v>45962</v>
      </c>
      <c r="D468" s="39" t="str">
        <f aca="false">INDEX('Assumptions &amp; Data'!$B$142:$B$201,MATCH(B468,'Assumptions &amp; Data'!$A$142:$A$201,0))</f>
        <v>Bengaluru</v>
      </c>
      <c r="E468" s="37" t="n">
        <f aca="false">'Assumptions &amp; Data'!D602</f>
        <v>33033</v>
      </c>
      <c r="F468" s="39" t="n">
        <f aca="false">E468*'Assumptions &amp; Data'!E602</f>
        <v>21398777.4</v>
      </c>
      <c r="G468" s="39" t="n">
        <f aca="false">F468*'Assumptions &amp; Data'!F602</f>
        <v>1080638.2587</v>
      </c>
      <c r="H468" s="39" t="n">
        <f aca="false">F468-G468</f>
        <v>20318139.1413</v>
      </c>
      <c r="I468" s="39" t="n">
        <f aca="false">H468*'Assumptions &amp; Data'!G602</f>
        <v>3431733.70096557</v>
      </c>
      <c r="J468" s="39" t="n">
        <f aca="false">E468*'Assumptions &amp; Data'!H602</f>
        <v>423483.06</v>
      </c>
      <c r="K468" s="39" t="n">
        <f aca="false">H468*'Assumptions &amp; Data'!I602</f>
        <v>579066.96552705</v>
      </c>
      <c r="L468" s="39" t="n">
        <f aca="false">H468*'Assumptions &amp; Data'!J602</f>
        <v>325090.2262608</v>
      </c>
      <c r="M468" s="39" t="n">
        <f aca="false">I468+J468+K468-L468</f>
        <v>4109193.50023182</v>
      </c>
      <c r="N468" s="39" t="n">
        <f aca="false">E468*'Assumptions &amp; Data'!N602</f>
        <v>1305464.16</v>
      </c>
      <c r="O468" s="39" t="n">
        <f aca="false">E468*'Assumptions &amp; Data'!O602</f>
        <v>342552.21</v>
      </c>
      <c r="P468" s="39" t="n">
        <f aca="false">H468*'Assumptions &amp; Data'!P602</f>
        <v>209276.83315539</v>
      </c>
      <c r="Q468" s="39" t="n">
        <f aca="false">M468-N468-O468-P468</f>
        <v>2251900.29707643</v>
      </c>
      <c r="R468" s="39" t="n">
        <f aca="false">'Assumptions &amp; Data'!L602*'Assumptions &amp; Data'!M602</f>
        <v>506460</v>
      </c>
      <c r="S468" s="37" t="n">
        <f aca="false">'Assumptions &amp; Data'!Q602</f>
        <v>553500</v>
      </c>
      <c r="T468" s="37" t="n">
        <f aca="false">'Assumptions &amp; Data'!R602</f>
        <v>169875</v>
      </c>
      <c r="U468" s="37" t="n">
        <f aca="false">'Assumptions &amp; Data'!S602</f>
        <v>154841</v>
      </c>
      <c r="V468" s="39" t="n">
        <f aca="false">Q468-R468-S468-T468-U468</f>
        <v>867224.29707643</v>
      </c>
      <c r="W468" s="39" t="n">
        <f aca="false">DAY(EOMONTH(C468,0))</f>
        <v>30</v>
      </c>
      <c r="X468" s="40" t="n">
        <f aca="false">E468/W468</f>
        <v>1101.1</v>
      </c>
      <c r="Y468" s="39" t="n">
        <f aca="false">R468+S468+T468+U468</f>
        <v>1384676</v>
      </c>
    </row>
    <row r="469" customFormat="false" ht="15" hidden="false" customHeight="false" outlineLevel="0" collapsed="false">
      <c r="A469" s="37" t="str">
        <f aca="false">'Assumptions &amp; Data'!A603</f>
        <v>SM0399</v>
      </c>
      <c r="B469" s="37" t="str">
        <f aca="false">'Assumptions &amp; Data'!B603</f>
        <v>DS034</v>
      </c>
      <c r="C469" s="38" t="n">
        <f aca="false">'Assumptions &amp; Data'!C603</f>
        <v>45992</v>
      </c>
      <c r="D469" s="39" t="str">
        <f aca="false">INDEX('Assumptions &amp; Data'!$B$142:$B$201,MATCH(B469,'Assumptions &amp; Data'!$A$142:$A$201,0))</f>
        <v>Bengaluru</v>
      </c>
      <c r="E469" s="37" t="n">
        <f aca="false">'Assumptions &amp; Data'!D603</f>
        <v>31627</v>
      </c>
      <c r="F469" s="39" t="n">
        <f aca="false">E469*'Assumptions &amp; Data'!E603</f>
        <v>19779525.8</v>
      </c>
      <c r="G469" s="39" t="n">
        <f aca="false">F469*'Assumptions &amp; Data'!F603</f>
        <v>1074028.25094</v>
      </c>
      <c r="H469" s="39" t="n">
        <f aca="false">F469-G469</f>
        <v>18705497.54906</v>
      </c>
      <c r="I469" s="39" t="n">
        <f aca="false">H469*'Assumptions &amp; Data'!G603</f>
        <v>3157487.98628133</v>
      </c>
      <c r="J469" s="39" t="n">
        <f aca="false">E469*'Assumptions &amp; Data'!H603</f>
        <v>389960.91</v>
      </c>
      <c r="K469" s="39" t="n">
        <f aca="false">H469*'Assumptions &amp; Data'!I603</f>
        <v>503177.884069714</v>
      </c>
      <c r="L469" s="39" t="n">
        <f aca="false">H469*'Assumptions &amp; Data'!J603</f>
        <v>301158.510539866</v>
      </c>
      <c r="M469" s="39" t="n">
        <f aca="false">I469+J469+K469-L469</f>
        <v>3749468.26981118</v>
      </c>
      <c r="N469" s="39" t="n">
        <f aca="false">E469*'Assumptions &amp; Data'!N603</f>
        <v>1232187.92</v>
      </c>
      <c r="O469" s="39" t="n">
        <f aca="false">E469*'Assumptions &amp; Data'!O603</f>
        <v>330818.42</v>
      </c>
      <c r="P469" s="39" t="n">
        <f aca="false">H469*'Assumptions &amp; Data'!P603</f>
        <v>188925.525245506</v>
      </c>
      <c r="Q469" s="39" t="n">
        <f aca="false">M469-N469-O469-P469</f>
        <v>1997536.40456567</v>
      </c>
      <c r="R469" s="39" t="n">
        <f aca="false">'Assumptions &amp; Data'!L603*'Assumptions &amp; Data'!M603</f>
        <v>506920</v>
      </c>
      <c r="S469" s="37" t="n">
        <f aca="false">'Assumptions &amp; Data'!Q603</f>
        <v>553500</v>
      </c>
      <c r="T469" s="37" t="n">
        <f aca="false">'Assumptions &amp; Data'!R603</f>
        <v>175422</v>
      </c>
      <c r="U469" s="37" t="n">
        <f aca="false">'Assumptions &amp; Data'!S603</f>
        <v>146620</v>
      </c>
      <c r="V469" s="39" t="n">
        <f aca="false">Q469-R469-S469-T469-U469</f>
        <v>615074.404565671</v>
      </c>
      <c r="W469" s="39" t="n">
        <f aca="false">DAY(EOMONTH(C469,0))</f>
        <v>31</v>
      </c>
      <c r="X469" s="40" t="n">
        <f aca="false">E469/W469</f>
        <v>1020.22580645161</v>
      </c>
      <c r="Y469" s="39" t="n">
        <f aca="false">R469+S469+T469+U469</f>
        <v>1382462</v>
      </c>
    </row>
    <row r="470" customFormat="false" ht="15" hidden="false" customHeight="false" outlineLevel="0" collapsed="false">
      <c r="A470" s="37" t="str">
        <f aca="false">'Assumptions &amp; Data'!A604</f>
        <v>SM0400</v>
      </c>
      <c r="B470" s="37" t="str">
        <f aca="false">'Assumptions &amp; Data'!B604</f>
        <v>DS034</v>
      </c>
      <c r="C470" s="38" t="n">
        <f aca="false">'Assumptions &amp; Data'!C604</f>
        <v>46023</v>
      </c>
      <c r="D470" s="39" t="str">
        <f aca="false">INDEX('Assumptions &amp; Data'!$B$142:$B$201,MATCH(B470,'Assumptions &amp; Data'!$A$142:$A$201,0))</f>
        <v>Bengaluru</v>
      </c>
      <c r="E470" s="37" t="n">
        <f aca="false">'Assumptions &amp; Data'!D604</f>
        <v>31819</v>
      </c>
      <c r="F470" s="39" t="n">
        <f aca="false">E470*'Assumptions &amp; Data'!E604</f>
        <v>20246429.7</v>
      </c>
      <c r="G470" s="39" t="n">
        <f aca="false">F470*'Assumptions &amp; Data'!F604</f>
        <v>1038641.84361</v>
      </c>
      <c r="H470" s="39" t="n">
        <f aca="false">F470-G470</f>
        <v>19207787.85639</v>
      </c>
      <c r="I470" s="39" t="n">
        <f aca="false">H470*'Assumptions &amp; Data'!G604</f>
        <v>3299897.9537278</v>
      </c>
      <c r="J470" s="39" t="n">
        <f aca="false">E470*'Assumptions &amp; Data'!H604</f>
        <v>391373.7</v>
      </c>
      <c r="K470" s="39" t="n">
        <f aca="false">H470*'Assumptions &amp; Data'!I604</f>
        <v>541659.617550198</v>
      </c>
      <c r="L470" s="39" t="n">
        <f aca="false">H470*'Assumptions &amp; Data'!J604</f>
        <v>311166.163273518</v>
      </c>
      <c r="M470" s="39" t="n">
        <f aca="false">I470+J470+K470-L470</f>
        <v>3921765.10800448</v>
      </c>
      <c r="N470" s="39" t="n">
        <f aca="false">E470*'Assumptions &amp; Data'!N604</f>
        <v>1247622.99</v>
      </c>
      <c r="O470" s="39" t="n">
        <f aca="false">E470*'Assumptions &amp; Data'!O604</f>
        <v>330917.6</v>
      </c>
      <c r="P470" s="39" t="n">
        <f aca="false">H470*'Assumptions &amp; Data'!P604</f>
        <v>190157.099778261</v>
      </c>
      <c r="Q470" s="39" t="n">
        <f aca="false">M470-N470-O470-P470</f>
        <v>2153067.41822622</v>
      </c>
      <c r="R470" s="39" t="n">
        <f aca="false">'Assumptions &amp; Data'!L604*'Assumptions &amp; Data'!M604</f>
        <v>485320</v>
      </c>
      <c r="S470" s="37" t="n">
        <f aca="false">'Assumptions &amp; Data'!Q604</f>
        <v>553500</v>
      </c>
      <c r="T470" s="37" t="n">
        <f aca="false">'Assumptions &amp; Data'!R604</f>
        <v>175938</v>
      </c>
      <c r="U470" s="37" t="n">
        <f aca="false">'Assumptions &amp; Data'!S604</f>
        <v>123645</v>
      </c>
      <c r="V470" s="39" t="n">
        <f aca="false">Q470-R470-S470-T470-U470</f>
        <v>814664.418226221</v>
      </c>
      <c r="W470" s="39" t="n">
        <f aca="false">DAY(EOMONTH(C470,0))</f>
        <v>31</v>
      </c>
      <c r="X470" s="40" t="n">
        <f aca="false">E470/W470</f>
        <v>1026.41935483871</v>
      </c>
      <c r="Y470" s="39" t="n">
        <f aca="false">R470+S470+T470+U470</f>
        <v>1338403</v>
      </c>
    </row>
    <row r="471" customFormat="false" ht="15" hidden="false" customHeight="false" outlineLevel="0" collapsed="false">
      <c r="A471" s="37" t="str">
        <f aca="false">'Assumptions &amp; Data'!A605</f>
        <v>SM0401</v>
      </c>
      <c r="B471" s="37" t="str">
        <f aca="false">'Assumptions &amp; Data'!B605</f>
        <v>DS034</v>
      </c>
      <c r="C471" s="38" t="n">
        <f aca="false">'Assumptions &amp; Data'!C605</f>
        <v>46054</v>
      </c>
      <c r="D471" s="39" t="str">
        <f aca="false">INDEX('Assumptions &amp; Data'!$B$142:$B$201,MATCH(B471,'Assumptions &amp; Data'!$A$142:$A$201,0))</f>
        <v>Bengaluru</v>
      </c>
      <c r="E471" s="37" t="n">
        <f aca="false">'Assumptions &amp; Data'!D605</f>
        <v>28195</v>
      </c>
      <c r="F471" s="39" t="n">
        <f aca="false">E471*'Assumptions &amp; Data'!E605</f>
        <v>18515656.5</v>
      </c>
      <c r="G471" s="39" t="n">
        <f aca="false">F471*'Assumptions &amp; Data'!F605</f>
        <v>992439.1884</v>
      </c>
      <c r="H471" s="39" t="n">
        <f aca="false">F471-G471</f>
        <v>17523217.3116</v>
      </c>
      <c r="I471" s="39" t="n">
        <f aca="false">H471*'Assumptions &amp; Data'!G605</f>
        <v>2977194.62124084</v>
      </c>
      <c r="J471" s="39" t="n">
        <f aca="false">E471*'Assumptions &amp; Data'!H605</f>
        <v>356948.7</v>
      </c>
      <c r="K471" s="39" t="n">
        <f aca="false">H471*'Assumptions &amp; Data'!I605</f>
        <v>481888.476069</v>
      </c>
      <c r="L471" s="39" t="n">
        <f aca="false">H471*'Assumptions &amp; Data'!J605</f>
        <v>289133.0856414</v>
      </c>
      <c r="M471" s="39" t="n">
        <f aca="false">I471+J471+K471-L471</f>
        <v>3526898.71166844</v>
      </c>
      <c r="N471" s="39" t="n">
        <f aca="false">E471*'Assumptions &amp; Data'!N605</f>
        <v>1094529.9</v>
      </c>
      <c r="O471" s="39" t="n">
        <f aca="false">E471*'Assumptions &amp; Data'!O605</f>
        <v>316911.8</v>
      </c>
      <c r="P471" s="39" t="n">
        <f aca="false">H471*'Assumptions &amp; Data'!P605</f>
        <v>171727.52965368</v>
      </c>
      <c r="Q471" s="39" t="n">
        <f aca="false">M471-N471-O471-P471</f>
        <v>1943729.48201476</v>
      </c>
      <c r="R471" s="39" t="n">
        <f aca="false">'Assumptions &amp; Data'!L605*'Assumptions &amp; Data'!M605</f>
        <v>463680</v>
      </c>
      <c r="S471" s="37" t="n">
        <f aca="false">'Assumptions &amp; Data'!Q605</f>
        <v>553500</v>
      </c>
      <c r="T471" s="37" t="n">
        <f aca="false">'Assumptions &amp; Data'!R605</f>
        <v>169256</v>
      </c>
      <c r="U471" s="37" t="n">
        <f aca="false">'Assumptions &amp; Data'!S605</f>
        <v>140897</v>
      </c>
      <c r="V471" s="39" t="n">
        <f aca="false">Q471-R471-S471-T471-U471</f>
        <v>616396.48201476</v>
      </c>
      <c r="W471" s="39" t="n">
        <f aca="false">DAY(EOMONTH(C471,0))</f>
        <v>28</v>
      </c>
      <c r="X471" s="40" t="n">
        <f aca="false">E471/W471</f>
        <v>1006.96428571429</v>
      </c>
      <c r="Y471" s="39" t="n">
        <f aca="false">R471+S471+T471+U471</f>
        <v>1327333</v>
      </c>
    </row>
    <row r="472" customFormat="false" ht="15" hidden="false" customHeight="false" outlineLevel="0" collapsed="false">
      <c r="A472" s="37" t="str">
        <f aca="false">'Assumptions &amp; Data'!A606</f>
        <v>SM0402</v>
      </c>
      <c r="B472" s="37" t="str">
        <f aca="false">'Assumptions &amp; Data'!B606</f>
        <v>DS034</v>
      </c>
      <c r="C472" s="38" t="n">
        <f aca="false">'Assumptions &amp; Data'!C606</f>
        <v>46082</v>
      </c>
      <c r="D472" s="39" t="str">
        <f aca="false">INDEX('Assumptions &amp; Data'!$B$142:$B$201,MATCH(B472,'Assumptions &amp; Data'!$A$142:$A$201,0))</f>
        <v>Bengaluru</v>
      </c>
      <c r="E472" s="37" t="n">
        <f aca="false">'Assumptions &amp; Data'!D606</f>
        <v>32708</v>
      </c>
      <c r="F472" s="39" t="n">
        <f aca="false">E472*'Assumptions &amp; Data'!E606</f>
        <v>21037785.6</v>
      </c>
      <c r="G472" s="39" t="n">
        <f aca="false">F472*'Assumptions &amp; Data'!F606</f>
        <v>1129729.08672</v>
      </c>
      <c r="H472" s="39" t="n">
        <f aca="false">F472-G472</f>
        <v>19908056.51328</v>
      </c>
      <c r="I472" s="39" t="n">
        <f aca="false">H472*'Assumptions &amp; Data'!G606</f>
        <v>3374415.57900096</v>
      </c>
      <c r="J472" s="39" t="n">
        <f aca="false">E472*'Assumptions &amp; Data'!H606</f>
        <v>413429.12</v>
      </c>
      <c r="K472" s="39" t="n">
        <f aca="false">H472*'Assumptions &amp; Data'!I606</f>
        <v>601223.306701056</v>
      </c>
      <c r="L472" s="39" t="n">
        <f aca="false">H472*'Assumptions &amp; Data'!J606</f>
        <v>340427.766377088</v>
      </c>
      <c r="M472" s="39" t="n">
        <f aca="false">I472+J472+K472-L472</f>
        <v>4048640.23932493</v>
      </c>
      <c r="N472" s="39" t="n">
        <f aca="false">E472*'Assumptions &amp; Data'!N606</f>
        <v>1274957.84</v>
      </c>
      <c r="O472" s="39" t="n">
        <f aca="false">E472*'Assumptions &amp; Data'!O606</f>
        <v>340163.2</v>
      </c>
      <c r="P472" s="39" t="n">
        <f aca="false">H472*'Assumptions &amp; Data'!P606</f>
        <v>195098.953830144</v>
      </c>
      <c r="Q472" s="39" t="n">
        <f aca="false">M472-N472-O472-P472</f>
        <v>2238420.24549478</v>
      </c>
      <c r="R472" s="39" t="n">
        <f aca="false">'Assumptions &amp; Data'!L606*'Assumptions &amp; Data'!M606</f>
        <v>486200</v>
      </c>
      <c r="S472" s="37" t="n">
        <f aca="false">'Assumptions &amp; Data'!Q606</f>
        <v>553500</v>
      </c>
      <c r="T472" s="37" t="n">
        <f aca="false">'Assumptions &amp; Data'!R606</f>
        <v>182420</v>
      </c>
      <c r="U472" s="37" t="n">
        <f aca="false">'Assumptions &amp; Data'!S606</f>
        <v>133192</v>
      </c>
      <c r="V472" s="39" t="n">
        <f aca="false">Q472-R472-S472-T472-U472</f>
        <v>883108.245494784</v>
      </c>
      <c r="W472" s="39" t="n">
        <f aca="false">DAY(EOMONTH(C472,0))</f>
        <v>31</v>
      </c>
      <c r="X472" s="40" t="n">
        <f aca="false">E472/W472</f>
        <v>1055.09677419355</v>
      </c>
      <c r="Y472" s="39" t="n">
        <f aca="false">R472+S472+T472+U472</f>
        <v>1355312</v>
      </c>
    </row>
    <row r="473" customFormat="false" ht="15" hidden="false" customHeight="false" outlineLevel="0" collapsed="false">
      <c r="A473" s="37" t="str">
        <f aca="false">'Assumptions &amp; Data'!A607</f>
        <v>SM0403</v>
      </c>
      <c r="B473" s="37" t="str">
        <f aca="false">'Assumptions &amp; Data'!B607</f>
        <v>DS034</v>
      </c>
      <c r="C473" s="38" t="n">
        <f aca="false">'Assumptions &amp; Data'!C607</f>
        <v>46113</v>
      </c>
      <c r="D473" s="39" t="str">
        <f aca="false">INDEX('Assumptions &amp; Data'!$B$142:$B$201,MATCH(B473,'Assumptions &amp; Data'!$A$142:$A$201,0))</f>
        <v>Bengaluru</v>
      </c>
      <c r="E473" s="37" t="n">
        <f aca="false">'Assumptions &amp; Data'!D607</f>
        <v>34861</v>
      </c>
      <c r="F473" s="39" t="n">
        <f aca="false">E473*'Assumptions &amp; Data'!E607</f>
        <v>23133759.6</v>
      </c>
      <c r="G473" s="39" t="n">
        <f aca="false">F473*'Assumptions &amp; Data'!F607</f>
        <v>1156687.98</v>
      </c>
      <c r="H473" s="39" t="n">
        <f aca="false">F473-G473</f>
        <v>21977071.62</v>
      </c>
      <c r="I473" s="39" t="n">
        <f aca="false">H473*'Assumptions &amp; Data'!G607</f>
        <v>3667973.253378</v>
      </c>
      <c r="J473" s="39" t="n">
        <f aca="false">E473*'Assumptions &amp; Data'!H607</f>
        <v>448661.07</v>
      </c>
      <c r="K473" s="39" t="n">
        <f aca="false">H473*'Assumptions &amp; Data'!I607</f>
        <v>608764.883874</v>
      </c>
      <c r="L473" s="39" t="n">
        <f aca="false">H473*'Assumptions &amp; Data'!J607</f>
        <v>327458.367138</v>
      </c>
      <c r="M473" s="39" t="n">
        <f aca="false">I473+J473+K473-L473</f>
        <v>4397940.840114</v>
      </c>
      <c r="N473" s="39" t="n">
        <f aca="false">E473*'Assumptions &amp; Data'!N607</f>
        <v>1359579</v>
      </c>
      <c r="O473" s="39" t="n">
        <f aca="false">E473*'Assumptions &amp; Data'!O607</f>
        <v>368480.77</v>
      </c>
      <c r="P473" s="39" t="n">
        <f aca="false">H473*'Assumptions &amp; Data'!P607</f>
        <v>219770.7162</v>
      </c>
      <c r="Q473" s="39" t="n">
        <f aca="false">M473-N473-O473-P473</f>
        <v>2450110.353914</v>
      </c>
      <c r="R473" s="39" t="n">
        <f aca="false">'Assumptions &amp; Data'!L607*'Assumptions &amp; Data'!M607</f>
        <v>575120</v>
      </c>
      <c r="S473" s="37" t="n">
        <f aca="false">'Assumptions &amp; Data'!Q607</f>
        <v>553500</v>
      </c>
      <c r="T473" s="37" t="n">
        <f aca="false">'Assumptions &amp; Data'!R607</f>
        <v>183519</v>
      </c>
      <c r="U473" s="37" t="n">
        <f aca="false">'Assumptions &amp; Data'!S607</f>
        <v>162955</v>
      </c>
      <c r="V473" s="39" t="n">
        <f aca="false">Q473-R473-S473-T473-U473</f>
        <v>975016.353913999</v>
      </c>
      <c r="W473" s="39" t="n">
        <f aca="false">DAY(EOMONTH(C473,0))</f>
        <v>30</v>
      </c>
      <c r="X473" s="40" t="n">
        <f aca="false">E473/W473</f>
        <v>1162.03333333333</v>
      </c>
      <c r="Y473" s="39" t="n">
        <f aca="false">R473+S473+T473+U473</f>
        <v>1475094</v>
      </c>
    </row>
    <row r="474" customFormat="false" ht="15" hidden="false" customHeight="false" outlineLevel="0" collapsed="false">
      <c r="A474" s="37" t="str">
        <f aca="false">'Assumptions &amp; Data'!A608</f>
        <v>SM0404</v>
      </c>
      <c r="B474" s="37" t="str">
        <f aca="false">'Assumptions &amp; Data'!B608</f>
        <v>DS034</v>
      </c>
      <c r="C474" s="38" t="n">
        <f aca="false">'Assumptions &amp; Data'!C608</f>
        <v>46143</v>
      </c>
      <c r="D474" s="39" t="str">
        <f aca="false">INDEX('Assumptions &amp; Data'!$B$142:$B$201,MATCH(B474,'Assumptions &amp; Data'!$A$142:$A$201,0))</f>
        <v>Bengaluru</v>
      </c>
      <c r="E474" s="37" t="n">
        <f aca="false">'Assumptions &amp; Data'!D608</f>
        <v>37091</v>
      </c>
      <c r="F474" s="39" t="n">
        <f aca="false">E474*'Assumptions &amp; Data'!E608</f>
        <v>24138822.8</v>
      </c>
      <c r="G474" s="39" t="n">
        <f aca="false">F474*'Assumptions &amp; Data'!F608</f>
        <v>1211768.90456</v>
      </c>
      <c r="H474" s="39" t="n">
        <f aca="false">F474-G474</f>
        <v>22927053.89544</v>
      </c>
      <c r="I474" s="39" t="n">
        <f aca="false">H474*'Assumptions &amp; Data'!G608</f>
        <v>3909062.68917252</v>
      </c>
      <c r="J474" s="39" t="n">
        <f aca="false">E474*'Assumptions &amp; Data'!H608</f>
        <v>471797.52</v>
      </c>
      <c r="K474" s="39" t="n">
        <f aca="false">H474*'Assumptions &amp; Data'!I608</f>
        <v>690104.322252744</v>
      </c>
      <c r="L474" s="39" t="n">
        <f aca="false">H474*'Assumptions &amp; Data'!J608</f>
        <v>366832.86232704</v>
      </c>
      <c r="M474" s="39" t="n">
        <f aca="false">I474+J474+K474-L474</f>
        <v>4704131.66909822</v>
      </c>
      <c r="N474" s="39" t="n">
        <f aca="false">E474*'Assumptions &amp; Data'!N608</f>
        <v>1441356.26</v>
      </c>
      <c r="O474" s="39" t="n">
        <f aca="false">E474*'Assumptions &amp; Data'!O608</f>
        <v>404291.9</v>
      </c>
      <c r="P474" s="39" t="n">
        <f aca="false">H474*'Assumptions &amp; Data'!P608</f>
        <v>236148.655123032</v>
      </c>
      <c r="Q474" s="39" t="n">
        <f aca="false">M474-N474-O474-P474</f>
        <v>2622334.85397519</v>
      </c>
      <c r="R474" s="39" t="n">
        <f aca="false">'Assumptions &amp; Data'!L608*'Assumptions &amp; Data'!M608</f>
        <v>553500</v>
      </c>
      <c r="S474" s="37" t="n">
        <f aca="false">'Assumptions &amp; Data'!Q608</f>
        <v>553500</v>
      </c>
      <c r="T474" s="37" t="n">
        <f aca="false">'Assumptions &amp; Data'!R608</f>
        <v>176058</v>
      </c>
      <c r="U474" s="37" t="n">
        <f aca="false">'Assumptions &amp; Data'!S608</f>
        <v>176038</v>
      </c>
      <c r="V474" s="39" t="n">
        <f aca="false">Q474-R474-S474-T474-U474</f>
        <v>1163238.85397519</v>
      </c>
      <c r="W474" s="39" t="n">
        <f aca="false">DAY(EOMONTH(C474,0))</f>
        <v>31</v>
      </c>
      <c r="X474" s="40" t="n">
        <f aca="false">E474/W474</f>
        <v>1196.48387096774</v>
      </c>
      <c r="Y474" s="39" t="n">
        <f aca="false">R474+S474+T474+U474</f>
        <v>1459096</v>
      </c>
    </row>
    <row r="475" customFormat="false" ht="15" hidden="false" customHeight="false" outlineLevel="0" collapsed="false">
      <c r="A475" s="37" t="str">
        <f aca="false">'Assumptions &amp; Data'!A609</f>
        <v>SM0405</v>
      </c>
      <c r="B475" s="37" t="str">
        <f aca="false">'Assumptions &amp; Data'!B609</f>
        <v>DS034</v>
      </c>
      <c r="C475" s="38" t="n">
        <f aca="false">'Assumptions &amp; Data'!C609</f>
        <v>46174</v>
      </c>
      <c r="D475" s="39" t="str">
        <f aca="false">INDEX('Assumptions &amp; Data'!$B$142:$B$201,MATCH(B475,'Assumptions &amp; Data'!$A$142:$A$201,0))</f>
        <v>Bengaluru</v>
      </c>
      <c r="E475" s="37" t="n">
        <f aca="false">'Assumptions &amp; Data'!D609</f>
        <v>34759</v>
      </c>
      <c r="F475" s="39" t="n">
        <f aca="false">E475*'Assumptions &amp; Data'!E609</f>
        <v>22096296.3</v>
      </c>
      <c r="G475" s="39" t="n">
        <f aca="false">F475*'Assumptions &amp; Data'!F609</f>
        <v>1082718.5187</v>
      </c>
      <c r="H475" s="39" t="n">
        <f aca="false">F475-G475</f>
        <v>21013577.7813</v>
      </c>
      <c r="I475" s="39" t="n">
        <f aca="false">H475*'Assumptions &amp; Data'!G609</f>
        <v>3612234.02060547</v>
      </c>
      <c r="J475" s="39" t="n">
        <f aca="false">E475*'Assumptions &amp; Data'!H609</f>
        <v>418498.36</v>
      </c>
      <c r="K475" s="39" t="n">
        <f aca="false">H475*'Assumptions &amp; Data'!I609</f>
        <v>600988.32454518</v>
      </c>
      <c r="L475" s="39" t="n">
        <f aca="false">H475*'Assumptions &amp; Data'!J609</f>
        <v>323609.09783202</v>
      </c>
      <c r="M475" s="39" t="n">
        <f aca="false">I475+J475+K475-L475</f>
        <v>4308111.60731863</v>
      </c>
      <c r="N475" s="39" t="n">
        <f aca="false">E475*'Assumptions &amp; Data'!N609</f>
        <v>1345173.3</v>
      </c>
      <c r="O475" s="39" t="n">
        <f aca="false">E475*'Assumptions &amp; Data'!O609</f>
        <v>377830.33</v>
      </c>
      <c r="P475" s="39" t="n">
        <f aca="false">H475*'Assumptions &amp; Data'!P609</f>
        <v>216439.85114739</v>
      </c>
      <c r="Q475" s="39" t="n">
        <f aca="false">M475-N475-O475-P475</f>
        <v>2368668.12617124</v>
      </c>
      <c r="R475" s="39" t="n">
        <f aca="false">'Assumptions &amp; Data'!L609*'Assumptions &amp; Data'!M609</f>
        <v>531840</v>
      </c>
      <c r="S475" s="37" t="n">
        <f aca="false">'Assumptions &amp; Data'!Q609</f>
        <v>553500</v>
      </c>
      <c r="T475" s="37" t="n">
        <f aca="false">'Assumptions &amp; Data'!R609</f>
        <v>181567</v>
      </c>
      <c r="U475" s="37" t="n">
        <f aca="false">'Assumptions &amp; Data'!S609</f>
        <v>151356</v>
      </c>
      <c r="V475" s="39" t="n">
        <f aca="false">Q475-R475-S475-T475-U475</f>
        <v>950405.12617124</v>
      </c>
      <c r="W475" s="39" t="n">
        <f aca="false">DAY(EOMONTH(C475,0))</f>
        <v>30</v>
      </c>
      <c r="X475" s="40" t="n">
        <f aca="false">E475/W475</f>
        <v>1158.63333333333</v>
      </c>
      <c r="Y475" s="39" t="n">
        <f aca="false">R475+S475+T475+U475</f>
        <v>1418263</v>
      </c>
    </row>
    <row r="476" customFormat="false" ht="15" hidden="false" customHeight="false" outlineLevel="0" collapsed="false">
      <c r="A476" s="37" t="str">
        <f aca="false">'Assumptions &amp; Data'!A610</f>
        <v>SM0406</v>
      </c>
      <c r="B476" s="37" t="str">
        <f aca="false">'Assumptions &amp; Data'!B610</f>
        <v>DS034</v>
      </c>
      <c r="C476" s="38" t="n">
        <f aca="false">'Assumptions &amp; Data'!C610</f>
        <v>46204</v>
      </c>
      <c r="D476" s="39" t="str">
        <f aca="false">INDEX('Assumptions &amp; Data'!$B$142:$B$201,MATCH(B476,'Assumptions &amp; Data'!$A$142:$A$201,0))</f>
        <v>Bengaluru</v>
      </c>
      <c r="E476" s="37" t="n">
        <f aca="false">'Assumptions &amp; Data'!D610</f>
        <v>34511</v>
      </c>
      <c r="F476" s="39" t="n">
        <f aca="false">E476*'Assumptions &amp; Data'!E610</f>
        <v>22559840.7</v>
      </c>
      <c r="G476" s="39" t="n">
        <f aca="false">F476*'Assumptions &amp; Data'!F610</f>
        <v>1175367.70047</v>
      </c>
      <c r="H476" s="39" t="n">
        <f aca="false">F476-G476</f>
        <v>21384472.99953</v>
      </c>
      <c r="I476" s="39" t="n">
        <f aca="false">H476*'Assumptions &amp; Data'!G610</f>
        <v>3590453.01662109</v>
      </c>
      <c r="J476" s="39" t="n">
        <f aca="false">E476*'Assumptions &amp; Data'!H610</f>
        <v>440015.25</v>
      </c>
      <c r="K476" s="39" t="n">
        <f aca="false">H476*'Assumptions &amp; Data'!I610</f>
        <v>622288.164286323</v>
      </c>
      <c r="L476" s="39" t="n">
        <f aca="false">H476*'Assumptions &amp; Data'!J610</f>
        <v>357120.699092151</v>
      </c>
      <c r="M476" s="39" t="n">
        <f aca="false">I476+J476+K476-L476</f>
        <v>4295635.73181526</v>
      </c>
      <c r="N476" s="39" t="n">
        <f aca="false">E476*'Assumptions &amp; Data'!N610</f>
        <v>1319700.64</v>
      </c>
      <c r="O476" s="39" t="n">
        <f aca="false">E476*'Assumptions &amp; Data'!O610</f>
        <v>360639.95</v>
      </c>
      <c r="P476" s="39" t="n">
        <f aca="false">H476*'Assumptions &amp; Data'!P610</f>
        <v>205290.940795488</v>
      </c>
      <c r="Q476" s="39" t="n">
        <f aca="false">M476-N476-O476-P476</f>
        <v>2410004.20101977</v>
      </c>
      <c r="R476" s="39" t="n">
        <f aca="false">'Assumptions &amp; Data'!L610*'Assumptions &amp; Data'!M610</f>
        <v>554500</v>
      </c>
      <c r="S476" s="37" t="n">
        <f aca="false">'Assumptions &amp; Data'!Q610</f>
        <v>553500</v>
      </c>
      <c r="T476" s="37" t="n">
        <f aca="false">'Assumptions &amp; Data'!R610</f>
        <v>177249</v>
      </c>
      <c r="U476" s="37" t="n">
        <f aca="false">'Assumptions &amp; Data'!S610</f>
        <v>147981</v>
      </c>
      <c r="V476" s="39" t="n">
        <f aca="false">Q476-R476-S476-T476-U476</f>
        <v>976774.201019772</v>
      </c>
      <c r="W476" s="39" t="n">
        <f aca="false">DAY(EOMONTH(C476,0))</f>
        <v>31</v>
      </c>
      <c r="X476" s="40" t="n">
        <f aca="false">E476/W476</f>
        <v>1113.25806451613</v>
      </c>
      <c r="Y476" s="39" t="n">
        <f aca="false">R476+S476+T476+U476</f>
        <v>1433230</v>
      </c>
    </row>
    <row r="477" customFormat="false" ht="15" hidden="false" customHeight="false" outlineLevel="0" collapsed="false">
      <c r="A477" s="37" t="str">
        <f aca="false">'Assumptions &amp; Data'!A611</f>
        <v>SM0407</v>
      </c>
      <c r="B477" s="37" t="str">
        <f aca="false">'Assumptions &amp; Data'!B611</f>
        <v>DS034</v>
      </c>
      <c r="C477" s="38" t="n">
        <f aca="false">'Assumptions &amp; Data'!C611</f>
        <v>46235</v>
      </c>
      <c r="D477" s="39" t="str">
        <f aca="false">INDEX('Assumptions &amp; Data'!$B$142:$B$201,MATCH(B477,'Assumptions &amp; Data'!$A$142:$A$201,0))</f>
        <v>Bengaluru</v>
      </c>
      <c r="E477" s="37" t="n">
        <f aca="false">'Assumptions &amp; Data'!D611</f>
        <v>37351</v>
      </c>
      <c r="F477" s="39" t="n">
        <f aca="false">E477*'Assumptions &amp; Data'!E611</f>
        <v>24266944.7</v>
      </c>
      <c r="G477" s="39" t="n">
        <f aca="false">F477*'Assumptions &amp; Data'!F611</f>
        <v>1269161.20781</v>
      </c>
      <c r="H477" s="39" t="n">
        <f aca="false">F477-G477</f>
        <v>22997783.49219</v>
      </c>
      <c r="I477" s="39" t="n">
        <f aca="false">H477*'Assumptions &amp; Data'!G611</f>
        <v>3916522.52871996</v>
      </c>
      <c r="J477" s="39" t="n">
        <f aca="false">E477*'Assumptions &amp; Data'!H611</f>
        <v>474357.7</v>
      </c>
      <c r="K477" s="39" t="n">
        <f aca="false">H477*'Assumptions &amp; Data'!I611</f>
        <v>722130.401654766</v>
      </c>
      <c r="L477" s="39" t="n">
        <f aca="false">H477*'Assumptions &amp; Data'!J611</f>
        <v>372564.092573478</v>
      </c>
      <c r="M477" s="39" t="n">
        <f aca="false">I477+J477+K477-L477</f>
        <v>4740446.53780125</v>
      </c>
      <c r="N477" s="39" t="n">
        <f aca="false">E477*'Assumptions &amp; Data'!N611</f>
        <v>1517197.62</v>
      </c>
      <c r="O477" s="39" t="n">
        <f aca="false">E477*'Assumptions &amp; Data'!O611</f>
        <v>383968.28</v>
      </c>
      <c r="P477" s="39" t="n">
        <f aca="false">H477*'Assumptions &amp; Data'!P611</f>
        <v>229977.8349219</v>
      </c>
      <c r="Q477" s="39" t="n">
        <f aca="false">M477-N477-O477-P477</f>
        <v>2609302.80287935</v>
      </c>
      <c r="R477" s="39" t="n">
        <f aca="false">'Assumptions &amp; Data'!L611*'Assumptions &amp; Data'!M611</f>
        <v>577200</v>
      </c>
      <c r="S477" s="37" t="n">
        <f aca="false">'Assumptions &amp; Data'!Q611</f>
        <v>553500</v>
      </c>
      <c r="T477" s="37" t="n">
        <f aca="false">'Assumptions &amp; Data'!R611</f>
        <v>173335</v>
      </c>
      <c r="U477" s="37" t="n">
        <f aca="false">'Assumptions &amp; Data'!S611</f>
        <v>160753</v>
      </c>
      <c r="V477" s="39" t="n">
        <f aca="false">Q477-R477-S477-T477-U477</f>
        <v>1144514.80287935</v>
      </c>
      <c r="W477" s="39" t="n">
        <f aca="false">DAY(EOMONTH(C477,0))</f>
        <v>31</v>
      </c>
      <c r="X477" s="40" t="n">
        <f aca="false">E477/W477</f>
        <v>1204.87096774194</v>
      </c>
      <c r="Y477" s="39" t="n">
        <f aca="false">R477+S477+T477+U477</f>
        <v>1464788</v>
      </c>
    </row>
    <row r="478" customFormat="false" ht="15" hidden="false" customHeight="false" outlineLevel="0" collapsed="false">
      <c r="A478" s="37" t="str">
        <f aca="false">'Assumptions &amp; Data'!A612</f>
        <v>SM0408</v>
      </c>
      <c r="B478" s="37" t="str">
        <f aca="false">'Assumptions &amp; Data'!B612</f>
        <v>DS034</v>
      </c>
      <c r="C478" s="38" t="n">
        <f aca="false">'Assumptions &amp; Data'!C612</f>
        <v>46266</v>
      </c>
      <c r="D478" s="39" t="str">
        <f aca="false">INDEX('Assumptions &amp; Data'!$B$142:$B$201,MATCH(B478,'Assumptions &amp; Data'!$A$142:$A$201,0))</f>
        <v>Bengaluru</v>
      </c>
      <c r="E478" s="37" t="n">
        <f aca="false">'Assumptions &amp; Data'!D612</f>
        <v>36731</v>
      </c>
      <c r="F478" s="39" t="n">
        <f aca="false">E478*'Assumptions &amp; Data'!E612</f>
        <v>23291127.1</v>
      </c>
      <c r="G478" s="39" t="n">
        <f aca="false">F478*'Assumptions &amp; Data'!F612</f>
        <v>1192505.70752</v>
      </c>
      <c r="H478" s="39" t="n">
        <f aca="false">F478-G478</f>
        <v>22098621.39248</v>
      </c>
      <c r="I478" s="39" t="n">
        <f aca="false">H478*'Assumptions &amp; Data'!G612</f>
        <v>3756765.6367216</v>
      </c>
      <c r="J478" s="39" t="n">
        <f aca="false">E478*'Assumptions &amp; Data'!H612</f>
        <v>448118.2</v>
      </c>
      <c r="K478" s="39" t="n">
        <f aca="false">H478*'Assumptions &amp; Data'!I612</f>
        <v>654119.193217408</v>
      </c>
      <c r="L478" s="39" t="n">
        <f aca="false">H478*'Assumptions &amp; Data'!J612</f>
        <v>399985.047203888</v>
      </c>
      <c r="M478" s="39" t="n">
        <f aca="false">I478+J478+K478-L478</f>
        <v>4459017.98273512</v>
      </c>
      <c r="N478" s="39" t="n">
        <f aca="false">E478*'Assumptions &amp; Data'!N612</f>
        <v>1420020.46</v>
      </c>
      <c r="O478" s="39" t="n">
        <f aca="false">E478*'Assumptions &amp; Data'!O612</f>
        <v>391919.77</v>
      </c>
      <c r="P478" s="39" t="n">
        <f aca="false">H478*'Assumptions &amp; Data'!P612</f>
        <v>223196.076064048</v>
      </c>
      <c r="Q478" s="39" t="n">
        <f aca="false">M478-N478-O478-P478</f>
        <v>2423881.67667107</v>
      </c>
      <c r="R478" s="39" t="n">
        <f aca="false">'Assumptions &amp; Data'!L612*'Assumptions &amp; Data'!M612</f>
        <v>555500</v>
      </c>
      <c r="S478" s="37" t="n">
        <f aca="false">'Assumptions &amp; Data'!Q612</f>
        <v>553500</v>
      </c>
      <c r="T478" s="37" t="n">
        <f aca="false">'Assumptions &amp; Data'!R612</f>
        <v>181489</v>
      </c>
      <c r="U478" s="37" t="n">
        <f aca="false">'Assumptions &amp; Data'!S612</f>
        <v>148775</v>
      </c>
      <c r="V478" s="39" t="n">
        <f aca="false">Q478-R478-S478-T478-U478</f>
        <v>984617.676671072</v>
      </c>
      <c r="W478" s="39" t="n">
        <f aca="false">DAY(EOMONTH(C478,0))</f>
        <v>30</v>
      </c>
      <c r="X478" s="40" t="n">
        <f aca="false">E478/W478</f>
        <v>1224.36666666667</v>
      </c>
      <c r="Y478" s="39" t="n">
        <f aca="false">R478+S478+T478+U478</f>
        <v>1439264</v>
      </c>
    </row>
    <row r="479" customFormat="false" ht="15" hidden="false" customHeight="false" outlineLevel="0" collapsed="false">
      <c r="A479" s="37" t="str">
        <f aca="false">'Assumptions &amp; Data'!A613</f>
        <v>SM0409</v>
      </c>
      <c r="B479" s="37" t="str">
        <f aca="false">'Assumptions &amp; Data'!B613</f>
        <v>DS035</v>
      </c>
      <c r="C479" s="38" t="n">
        <f aca="false">'Assumptions &amp; Data'!C613</f>
        <v>45931</v>
      </c>
      <c r="D479" s="39" t="str">
        <f aca="false">INDEX('Assumptions &amp; Data'!$B$142:$B$201,MATCH(B479,'Assumptions &amp; Data'!$A$142:$A$201,0))</f>
        <v>Bengaluru</v>
      </c>
      <c r="E479" s="37" t="n">
        <f aca="false">'Assumptions &amp; Data'!D613</f>
        <v>15249</v>
      </c>
      <c r="F479" s="39" t="n">
        <f aca="false">E479*'Assumptions &amp; Data'!E613</f>
        <v>11157693.3</v>
      </c>
      <c r="G479" s="39" t="n">
        <f aca="false">F479*'Assumptions &amp; Data'!F613</f>
        <v>743102.37378</v>
      </c>
      <c r="H479" s="39" t="n">
        <f aca="false">F479-G479</f>
        <v>10414590.92622</v>
      </c>
      <c r="I479" s="39" t="n">
        <f aca="false">H479*'Assumptions &amp; Data'!G613</f>
        <v>1756941.48925331</v>
      </c>
      <c r="J479" s="39" t="n">
        <f aca="false">E479*'Assumptions &amp; Data'!H613</f>
        <v>190460.01</v>
      </c>
      <c r="K479" s="39" t="n">
        <f aca="false">H479*'Assumptions &amp; Data'!I613</f>
        <v>243701.427673548</v>
      </c>
      <c r="L479" s="39" t="n">
        <f aca="false">H479*'Assumptions &amp; Data'!J613</f>
        <v>324935.236898064</v>
      </c>
      <c r="M479" s="39" t="n">
        <f aca="false">I479+J479+K479-L479</f>
        <v>1866167.6900288</v>
      </c>
      <c r="N479" s="39" t="n">
        <f aca="false">E479*'Assumptions &amp; Data'!N613</f>
        <v>716703</v>
      </c>
      <c r="O479" s="39" t="n">
        <f aca="false">E479*'Assumptions &amp; Data'!O613</f>
        <v>169873.86</v>
      </c>
      <c r="P479" s="39" t="n">
        <f aca="false">H479*'Assumptions &amp; Data'!P613</f>
        <v>105187.368354822</v>
      </c>
      <c r="Q479" s="39" t="n">
        <f aca="false">M479-N479-O479-P479</f>
        <v>874403.461673976</v>
      </c>
      <c r="R479" s="39" t="n">
        <f aca="false">'Assumptions &amp; Data'!L613*'Assumptions &amp; Data'!M613</f>
        <v>352000</v>
      </c>
      <c r="S479" s="37" t="n">
        <f aca="false">'Assumptions &amp; Data'!Q613</f>
        <v>530000</v>
      </c>
      <c r="T479" s="37" t="n">
        <f aca="false">'Assumptions &amp; Data'!R613</f>
        <v>182935</v>
      </c>
      <c r="U479" s="37" t="n">
        <f aca="false">'Assumptions &amp; Data'!S613</f>
        <v>266721</v>
      </c>
      <c r="V479" s="39" t="n">
        <f aca="false">Q479-R479-S479-T479-U479</f>
        <v>-457252.538326024</v>
      </c>
      <c r="W479" s="39" t="n">
        <f aca="false">DAY(EOMONTH(C479,0))</f>
        <v>31</v>
      </c>
      <c r="X479" s="40" t="n">
        <f aca="false">E479/W479</f>
        <v>491.903225806452</v>
      </c>
      <c r="Y479" s="39" t="n">
        <f aca="false">R479+S479+T479+U479</f>
        <v>1331656</v>
      </c>
    </row>
    <row r="480" customFormat="false" ht="15" hidden="false" customHeight="false" outlineLevel="0" collapsed="false">
      <c r="A480" s="37" t="str">
        <f aca="false">'Assumptions &amp; Data'!A614</f>
        <v>SM0410</v>
      </c>
      <c r="B480" s="37" t="str">
        <f aca="false">'Assumptions &amp; Data'!B614</f>
        <v>DS035</v>
      </c>
      <c r="C480" s="38" t="n">
        <f aca="false">'Assumptions &amp; Data'!C614</f>
        <v>45962</v>
      </c>
      <c r="D480" s="39" t="str">
        <f aca="false">INDEX('Assumptions &amp; Data'!$B$142:$B$201,MATCH(B480,'Assumptions &amp; Data'!$A$142:$A$201,0))</f>
        <v>Bengaluru</v>
      </c>
      <c r="E480" s="37" t="n">
        <f aca="false">'Assumptions &amp; Data'!D614</f>
        <v>17735</v>
      </c>
      <c r="F480" s="39" t="n">
        <f aca="false">E480*'Assumptions &amp; Data'!E614</f>
        <v>12370162.5</v>
      </c>
      <c r="G480" s="39" t="n">
        <f aca="false">F480*'Assumptions &amp; Data'!F614</f>
        <v>858489.2775</v>
      </c>
      <c r="H480" s="39" t="n">
        <f aca="false">F480-G480</f>
        <v>11511673.2225</v>
      </c>
      <c r="I480" s="39" t="n">
        <f aca="false">H480*'Assumptions &amp; Data'!G614</f>
        <v>1931658.7667355</v>
      </c>
      <c r="J480" s="39" t="n">
        <f aca="false">E480*'Assumptions &amp; Data'!H614</f>
        <v>211933.25</v>
      </c>
      <c r="K480" s="39" t="n">
        <f aca="false">H480*'Assumptions &amp; Data'!I614</f>
        <v>273977.8226955</v>
      </c>
      <c r="L480" s="39" t="n">
        <f aca="false">H480*'Assumptions &amp; Data'!J614</f>
        <v>336140.858097</v>
      </c>
      <c r="M480" s="39" t="n">
        <f aca="false">I480+J480+K480-L480</f>
        <v>2081428.981334</v>
      </c>
      <c r="N480" s="39" t="n">
        <f aca="false">E480*'Assumptions &amp; Data'!N614</f>
        <v>809602.75</v>
      </c>
      <c r="O480" s="39" t="n">
        <f aca="false">E480*'Assumptions &amp; Data'!O614</f>
        <v>187636.3</v>
      </c>
      <c r="P480" s="39" t="n">
        <f aca="false">H480*'Assumptions &amp; Data'!P614</f>
        <v>115116.732225</v>
      </c>
      <c r="Q480" s="39" t="n">
        <f aca="false">M480-N480-O480-P480</f>
        <v>969073.199109</v>
      </c>
      <c r="R480" s="39" t="n">
        <f aca="false">'Assumptions &amp; Data'!L614*'Assumptions &amp; Data'!M614</f>
        <v>352320</v>
      </c>
      <c r="S480" s="37" t="n">
        <f aca="false">'Assumptions &amp; Data'!Q614</f>
        <v>530000</v>
      </c>
      <c r="T480" s="37" t="n">
        <f aca="false">'Assumptions &amp; Data'!R614</f>
        <v>195014</v>
      </c>
      <c r="U480" s="37" t="n">
        <f aca="false">'Assumptions &amp; Data'!S614</f>
        <v>266263</v>
      </c>
      <c r="V480" s="39" t="n">
        <f aca="false">Q480-R480-S480-T480-U480</f>
        <v>-374523.800891</v>
      </c>
      <c r="W480" s="39" t="n">
        <f aca="false">DAY(EOMONTH(C480,0))</f>
        <v>30</v>
      </c>
      <c r="X480" s="40" t="n">
        <f aca="false">E480/W480</f>
        <v>591.166666666667</v>
      </c>
      <c r="Y480" s="39" t="n">
        <f aca="false">R480+S480+T480+U480</f>
        <v>1343597</v>
      </c>
    </row>
    <row r="481" customFormat="false" ht="15" hidden="false" customHeight="false" outlineLevel="0" collapsed="false">
      <c r="A481" s="37" t="str">
        <f aca="false">'Assumptions &amp; Data'!A615</f>
        <v>SM0411</v>
      </c>
      <c r="B481" s="37" t="str">
        <f aca="false">'Assumptions &amp; Data'!B615</f>
        <v>DS035</v>
      </c>
      <c r="C481" s="38" t="n">
        <f aca="false">'Assumptions &amp; Data'!C615</f>
        <v>45992</v>
      </c>
      <c r="D481" s="39" t="str">
        <f aca="false">INDEX('Assumptions &amp; Data'!$B$142:$B$201,MATCH(B481,'Assumptions &amp; Data'!$A$142:$A$201,0))</f>
        <v>Bengaluru</v>
      </c>
      <c r="E481" s="37" t="n">
        <f aca="false">'Assumptions &amp; Data'!D615</f>
        <v>20995</v>
      </c>
      <c r="F481" s="39" t="n">
        <f aca="false">E481*'Assumptions &amp; Data'!E615</f>
        <v>15061813</v>
      </c>
      <c r="G481" s="39" t="n">
        <f aca="false">F481*'Assumptions &amp; Data'!F615</f>
        <v>933832.406</v>
      </c>
      <c r="H481" s="39" t="n">
        <f aca="false">F481-G481</f>
        <v>14127980.594</v>
      </c>
      <c r="I481" s="39" t="n">
        <f aca="false">H481*'Assumptions &amp; Data'!G615</f>
        <v>2437076.652465</v>
      </c>
      <c r="J481" s="39" t="n">
        <f aca="false">E481*'Assumptions &amp; Data'!H615</f>
        <v>259708.15</v>
      </c>
      <c r="K481" s="39" t="n">
        <f aca="false">H481*'Assumptions &amp; Data'!I615</f>
        <v>332007.543959</v>
      </c>
      <c r="L481" s="39" t="n">
        <f aca="false">H481*'Assumptions &amp; Data'!J615</f>
        <v>419601.0236418</v>
      </c>
      <c r="M481" s="39" t="n">
        <f aca="false">I481+J481+K481-L481</f>
        <v>2609191.3227822</v>
      </c>
      <c r="N481" s="39" t="n">
        <f aca="false">E481*'Assumptions &amp; Data'!N615</f>
        <v>927139.2</v>
      </c>
      <c r="O481" s="39" t="n">
        <f aca="false">E481*'Assumptions &amp; Data'!O615</f>
        <v>223806.7</v>
      </c>
      <c r="P481" s="39" t="n">
        <f aca="false">H481*'Assumptions &amp; Data'!P615</f>
        <v>135628.6137024</v>
      </c>
      <c r="Q481" s="39" t="n">
        <f aca="false">M481-N481-O481-P481</f>
        <v>1322616.8090798</v>
      </c>
      <c r="R481" s="39" t="n">
        <f aca="false">'Assumptions &amp; Data'!L615*'Assumptions &amp; Data'!M615</f>
        <v>374680</v>
      </c>
      <c r="S481" s="37" t="n">
        <f aca="false">'Assumptions &amp; Data'!Q615</f>
        <v>530000</v>
      </c>
      <c r="T481" s="37" t="n">
        <f aca="false">'Assumptions &amp; Data'!R615</f>
        <v>193941</v>
      </c>
      <c r="U481" s="37" t="n">
        <f aca="false">'Assumptions &amp; Data'!S615</f>
        <v>290288</v>
      </c>
      <c r="V481" s="39" t="n">
        <f aca="false">Q481-R481-S481-T481-U481</f>
        <v>-66292.1909202002</v>
      </c>
      <c r="W481" s="39" t="n">
        <f aca="false">DAY(EOMONTH(C481,0))</f>
        <v>31</v>
      </c>
      <c r="X481" s="40" t="n">
        <f aca="false">E481/W481</f>
        <v>677.258064516129</v>
      </c>
      <c r="Y481" s="39" t="n">
        <f aca="false">R481+S481+T481+U481</f>
        <v>1388909</v>
      </c>
    </row>
    <row r="482" customFormat="false" ht="15" hidden="false" customHeight="false" outlineLevel="0" collapsed="false">
      <c r="A482" s="37" t="str">
        <f aca="false">'Assumptions &amp; Data'!A616</f>
        <v>SM0412</v>
      </c>
      <c r="B482" s="37" t="str">
        <f aca="false">'Assumptions &amp; Data'!B616</f>
        <v>DS035</v>
      </c>
      <c r="C482" s="38" t="n">
        <f aca="false">'Assumptions &amp; Data'!C616</f>
        <v>46023</v>
      </c>
      <c r="D482" s="39" t="str">
        <f aca="false">INDEX('Assumptions &amp; Data'!$B$142:$B$201,MATCH(B482,'Assumptions &amp; Data'!$A$142:$A$201,0))</f>
        <v>Bengaluru</v>
      </c>
      <c r="E482" s="37" t="n">
        <f aca="false">'Assumptions &amp; Data'!D616</f>
        <v>20796</v>
      </c>
      <c r="F482" s="39" t="n">
        <f aca="false">E482*'Assumptions &amp; Data'!E616</f>
        <v>14719408.8</v>
      </c>
      <c r="G482" s="39" t="n">
        <f aca="false">F482*'Assumptions &amp; Data'!F616</f>
        <v>930266.63616</v>
      </c>
      <c r="H482" s="39" t="n">
        <f aca="false">F482-G482</f>
        <v>13789142.16384</v>
      </c>
      <c r="I482" s="39" t="n">
        <f aca="false">H482*'Assumptions &amp; Data'!G616</f>
        <v>2353806.56736749</v>
      </c>
      <c r="J482" s="39" t="n">
        <f aca="false">E482*'Assumptions &amp; Data'!H616</f>
        <v>255582.84</v>
      </c>
      <c r="K482" s="39" t="n">
        <f aca="false">H482*'Assumptions &amp; Data'!I616</f>
        <v>332318.326148544</v>
      </c>
      <c r="L482" s="39" t="n">
        <f aca="false">H482*'Assumptions &amp; Data'!J616</f>
        <v>390232.723236672</v>
      </c>
      <c r="M482" s="39" t="n">
        <f aca="false">I482+J482+K482-L482</f>
        <v>2551475.01027936</v>
      </c>
      <c r="N482" s="39" t="n">
        <f aca="false">E482*'Assumptions &amp; Data'!N616</f>
        <v>925006.08</v>
      </c>
      <c r="O482" s="39" t="n">
        <f aca="false">E482*'Assumptions &amp; Data'!O616</f>
        <v>222725.16</v>
      </c>
      <c r="P482" s="39" t="n">
        <f aca="false">H482*'Assumptions &amp; Data'!P616</f>
        <v>137891.4216384</v>
      </c>
      <c r="Q482" s="39" t="n">
        <f aca="false">M482-N482-O482-P482</f>
        <v>1265852.34864096</v>
      </c>
      <c r="R482" s="39" t="n">
        <f aca="false">'Assumptions &amp; Data'!L616*'Assumptions &amp; Data'!M616</f>
        <v>375020</v>
      </c>
      <c r="S482" s="37" t="n">
        <f aca="false">'Assumptions &amp; Data'!Q616</f>
        <v>530000</v>
      </c>
      <c r="T482" s="37" t="n">
        <f aca="false">'Assumptions &amp; Data'!R616</f>
        <v>197185</v>
      </c>
      <c r="U482" s="37" t="n">
        <f aca="false">'Assumptions &amp; Data'!S616</f>
        <v>253040</v>
      </c>
      <c r="V482" s="39" t="n">
        <f aca="false">Q482-R482-S482-T482-U482</f>
        <v>-89392.6513590408</v>
      </c>
      <c r="W482" s="39" t="n">
        <f aca="false">DAY(EOMONTH(C482,0))</f>
        <v>31</v>
      </c>
      <c r="X482" s="40" t="n">
        <f aca="false">E482/W482</f>
        <v>670.838709677419</v>
      </c>
      <c r="Y482" s="39" t="n">
        <f aca="false">R482+S482+T482+U482</f>
        <v>1355245</v>
      </c>
    </row>
    <row r="483" customFormat="false" ht="15" hidden="false" customHeight="false" outlineLevel="0" collapsed="false">
      <c r="A483" s="37" t="str">
        <f aca="false">'Assumptions &amp; Data'!A617</f>
        <v>SM0413</v>
      </c>
      <c r="B483" s="37" t="str">
        <f aca="false">'Assumptions &amp; Data'!B617</f>
        <v>DS035</v>
      </c>
      <c r="C483" s="38" t="n">
        <f aca="false">'Assumptions &amp; Data'!C617</f>
        <v>46054</v>
      </c>
      <c r="D483" s="39" t="str">
        <f aca="false">INDEX('Assumptions &amp; Data'!$B$142:$B$201,MATCH(B483,'Assumptions &amp; Data'!$A$142:$A$201,0))</f>
        <v>Bengaluru</v>
      </c>
      <c r="E483" s="37" t="n">
        <f aca="false">'Assumptions &amp; Data'!D617</f>
        <v>21000</v>
      </c>
      <c r="F483" s="39" t="n">
        <f aca="false">E483*'Assumptions &amp; Data'!E617</f>
        <v>14391300</v>
      </c>
      <c r="G483" s="39" t="n">
        <f aca="false">F483*'Assumptions &amp; Data'!F617</f>
        <v>879308.43</v>
      </c>
      <c r="H483" s="39" t="n">
        <f aca="false">F483-G483</f>
        <v>13511991.57</v>
      </c>
      <c r="I483" s="39" t="n">
        <f aca="false">H483*'Assumptions &amp; Data'!G617</f>
        <v>2292984.969429</v>
      </c>
      <c r="J483" s="39" t="n">
        <f aca="false">E483*'Assumptions &amp; Data'!H617</f>
        <v>258510</v>
      </c>
      <c r="K483" s="39" t="n">
        <f aca="false">H483*'Assumptions &amp; Data'!I617</f>
        <v>325638.996837</v>
      </c>
      <c r="L483" s="39" t="n">
        <f aca="false">H483*'Assumptions &amp; Data'!J617</f>
        <v>343204.585878</v>
      </c>
      <c r="M483" s="39" t="n">
        <f aca="false">I483+J483+K483-L483</f>
        <v>2533929.380388</v>
      </c>
      <c r="N483" s="39" t="n">
        <f aca="false">E483*'Assumptions &amp; Data'!N617</f>
        <v>902160</v>
      </c>
      <c r="O483" s="39" t="n">
        <f aca="false">E483*'Assumptions &amp; Data'!O617</f>
        <v>215880</v>
      </c>
      <c r="P483" s="39" t="n">
        <f aca="false">H483*'Assumptions &amp; Data'!P617</f>
        <v>133768.716543</v>
      </c>
      <c r="Q483" s="39" t="n">
        <f aca="false">M483-N483-O483-P483</f>
        <v>1282120.663845</v>
      </c>
      <c r="R483" s="39" t="n">
        <f aca="false">'Assumptions &amp; Data'!L617*'Assumptions &amp; Data'!M617</f>
        <v>419520</v>
      </c>
      <c r="S483" s="37" t="n">
        <f aca="false">'Assumptions &amp; Data'!Q617</f>
        <v>530000</v>
      </c>
      <c r="T483" s="37" t="n">
        <f aca="false">'Assumptions &amp; Data'!R617</f>
        <v>195039</v>
      </c>
      <c r="U483" s="37" t="n">
        <f aca="false">'Assumptions &amp; Data'!S617</f>
        <v>233693</v>
      </c>
      <c r="V483" s="39" t="n">
        <f aca="false">Q483-R483-S483-T483-U483</f>
        <v>-96131.3361550004</v>
      </c>
      <c r="W483" s="39" t="n">
        <f aca="false">DAY(EOMONTH(C483,0))</f>
        <v>28</v>
      </c>
      <c r="X483" s="40" t="n">
        <f aca="false">E483/W483</f>
        <v>750</v>
      </c>
      <c r="Y483" s="39" t="n">
        <f aca="false">R483+S483+T483+U483</f>
        <v>1378252</v>
      </c>
    </row>
    <row r="484" customFormat="false" ht="15" hidden="false" customHeight="false" outlineLevel="0" collapsed="false">
      <c r="A484" s="37" t="str">
        <f aca="false">'Assumptions &amp; Data'!A618</f>
        <v>SM0414</v>
      </c>
      <c r="B484" s="37" t="str">
        <f aca="false">'Assumptions &amp; Data'!B618</f>
        <v>DS035</v>
      </c>
      <c r="C484" s="38" t="n">
        <f aca="false">'Assumptions &amp; Data'!C618</f>
        <v>46082</v>
      </c>
      <c r="D484" s="39" t="str">
        <f aca="false">INDEX('Assumptions &amp; Data'!$B$142:$B$201,MATCH(B484,'Assumptions &amp; Data'!$A$142:$A$201,0))</f>
        <v>Bengaluru</v>
      </c>
      <c r="E484" s="37" t="n">
        <f aca="false">'Assumptions &amp; Data'!D618</f>
        <v>26036</v>
      </c>
      <c r="F484" s="39" t="n">
        <f aca="false">E484*'Assumptions &amp; Data'!E618</f>
        <v>18673019.2</v>
      </c>
      <c r="G484" s="39" t="n">
        <f aca="false">F484*'Assumptions &amp; Data'!F618</f>
        <v>1109177.34048</v>
      </c>
      <c r="H484" s="39" t="n">
        <f aca="false">F484-G484</f>
        <v>17563841.85952</v>
      </c>
      <c r="I484" s="39" t="n">
        <f aca="false">H484*'Assumptions &amp; Data'!G618</f>
        <v>2980583.96356054</v>
      </c>
      <c r="J484" s="39" t="n">
        <f aca="false">E484*'Assumptions &amp; Data'!H618</f>
        <v>330917.56</v>
      </c>
      <c r="K484" s="39" t="n">
        <f aca="false">H484*'Assumptions &amp; Data'!I618</f>
        <v>463685.425091328</v>
      </c>
      <c r="L484" s="39" t="n">
        <f aca="false">H484*'Assumptions &amp; Data'!J618</f>
        <v>437339.662302048</v>
      </c>
      <c r="M484" s="39" t="n">
        <f aca="false">I484+J484+K484-L484</f>
        <v>3337847.28634982</v>
      </c>
      <c r="N484" s="39" t="n">
        <f aca="false">E484*'Assumptions &amp; Data'!N618</f>
        <v>1103666.04</v>
      </c>
      <c r="O484" s="39" t="n">
        <f aca="false">E484*'Assumptions &amp; Data'!O618</f>
        <v>280407.72</v>
      </c>
      <c r="P484" s="39" t="n">
        <f aca="false">H484*'Assumptions &amp; Data'!P618</f>
        <v>177394.802781152</v>
      </c>
      <c r="Q484" s="39" t="n">
        <f aca="false">M484-N484-O484-P484</f>
        <v>1776378.72356867</v>
      </c>
      <c r="R484" s="39" t="n">
        <f aca="false">'Assumptions &amp; Data'!L618*'Assumptions &amp; Data'!M618</f>
        <v>419900</v>
      </c>
      <c r="S484" s="37" t="n">
        <f aca="false">'Assumptions &amp; Data'!Q618</f>
        <v>530000</v>
      </c>
      <c r="T484" s="37" t="n">
        <f aca="false">'Assumptions &amp; Data'!R618</f>
        <v>182180</v>
      </c>
      <c r="U484" s="37" t="n">
        <f aca="false">'Assumptions &amp; Data'!S618</f>
        <v>297284</v>
      </c>
      <c r="V484" s="39" t="n">
        <f aca="false">Q484-R484-S484-T484-U484</f>
        <v>347014.723568673</v>
      </c>
      <c r="W484" s="39" t="n">
        <f aca="false">DAY(EOMONTH(C484,0))</f>
        <v>31</v>
      </c>
      <c r="X484" s="40" t="n">
        <f aca="false">E484/W484</f>
        <v>839.870967741936</v>
      </c>
      <c r="Y484" s="39" t="n">
        <f aca="false">R484+S484+T484+U484</f>
        <v>1429364</v>
      </c>
    </row>
    <row r="485" customFormat="false" ht="15" hidden="false" customHeight="false" outlineLevel="0" collapsed="false">
      <c r="A485" s="37" t="str">
        <f aca="false">'Assumptions &amp; Data'!A619</f>
        <v>SM0415</v>
      </c>
      <c r="B485" s="37" t="str">
        <f aca="false">'Assumptions &amp; Data'!B619</f>
        <v>DS035</v>
      </c>
      <c r="C485" s="38" t="n">
        <f aca="false">'Assumptions &amp; Data'!C619</f>
        <v>46113</v>
      </c>
      <c r="D485" s="39" t="str">
        <f aca="false">INDEX('Assumptions &amp; Data'!$B$142:$B$201,MATCH(B485,'Assumptions &amp; Data'!$A$142:$A$201,0))</f>
        <v>Bengaluru</v>
      </c>
      <c r="E485" s="37" t="n">
        <f aca="false">'Assumptions &amp; Data'!D619</f>
        <v>28631</v>
      </c>
      <c r="F485" s="39" t="n">
        <f aca="false">E485*'Assumptions &amp; Data'!E619</f>
        <v>20328010</v>
      </c>
      <c r="G485" s="39" t="n">
        <f aca="false">F485*'Assumptions &amp; Data'!F619</f>
        <v>1217647.799</v>
      </c>
      <c r="H485" s="39" t="n">
        <f aca="false">F485-G485</f>
        <v>19110362.201</v>
      </c>
      <c r="I485" s="39" t="n">
        <f aca="false">H485*'Assumptions &amp; Data'!G619</f>
        <v>3168498.0529258</v>
      </c>
      <c r="J485" s="39" t="n">
        <f aca="false">E485*'Assumptions &amp; Data'!H619</f>
        <v>340995.21</v>
      </c>
      <c r="K485" s="39" t="n">
        <f aca="false">H485*'Assumptions &amp; Data'!I619</f>
        <v>535090.141628</v>
      </c>
      <c r="L485" s="39" t="n">
        <f aca="false">H485*'Assumptions &amp; Data'!J619</f>
        <v>456737.6566039</v>
      </c>
      <c r="M485" s="39" t="n">
        <f aca="false">I485+J485+K485-L485</f>
        <v>3587845.7479499</v>
      </c>
      <c r="N485" s="39" t="n">
        <f aca="false">E485*'Assumptions &amp; Data'!N619</f>
        <v>1167572.18</v>
      </c>
      <c r="O485" s="39" t="n">
        <f aca="false">E485*'Assumptions &amp; Data'!O619</f>
        <v>301198.12</v>
      </c>
      <c r="P485" s="39" t="n">
        <f aca="false">H485*'Assumptions &amp; Data'!P619</f>
        <v>185370.5133497</v>
      </c>
      <c r="Q485" s="39" t="n">
        <f aca="false">M485-N485-O485-P485</f>
        <v>1933704.9346002</v>
      </c>
      <c r="R485" s="39" t="n">
        <f aca="false">'Assumptions &amp; Data'!L619*'Assumptions &amp; Data'!M619</f>
        <v>508760</v>
      </c>
      <c r="S485" s="37" t="n">
        <f aca="false">'Assumptions &amp; Data'!Q619</f>
        <v>530000</v>
      </c>
      <c r="T485" s="37" t="n">
        <f aca="false">'Assumptions &amp; Data'!R619</f>
        <v>190247</v>
      </c>
      <c r="U485" s="37" t="n">
        <f aca="false">'Assumptions &amp; Data'!S619</f>
        <v>290500</v>
      </c>
      <c r="V485" s="39" t="n">
        <f aca="false">Q485-R485-S485-T485-U485</f>
        <v>414197.9346002</v>
      </c>
      <c r="W485" s="39" t="n">
        <f aca="false">DAY(EOMONTH(C485,0))</f>
        <v>30</v>
      </c>
      <c r="X485" s="40" t="n">
        <f aca="false">E485/W485</f>
        <v>954.366666666667</v>
      </c>
      <c r="Y485" s="39" t="n">
        <f aca="false">R485+S485+T485+U485</f>
        <v>1519507</v>
      </c>
    </row>
    <row r="486" customFormat="false" ht="15" hidden="false" customHeight="false" outlineLevel="0" collapsed="false">
      <c r="A486" s="37" t="str">
        <f aca="false">'Assumptions &amp; Data'!A620</f>
        <v>SM0416</v>
      </c>
      <c r="B486" s="37" t="str">
        <f aca="false">'Assumptions &amp; Data'!B620</f>
        <v>DS035</v>
      </c>
      <c r="C486" s="38" t="n">
        <f aca="false">'Assumptions &amp; Data'!C620</f>
        <v>46143</v>
      </c>
      <c r="D486" s="39" t="str">
        <f aca="false">INDEX('Assumptions &amp; Data'!$B$142:$B$201,MATCH(B486,'Assumptions &amp; Data'!$A$142:$A$201,0))</f>
        <v>Bengaluru</v>
      </c>
      <c r="E486" s="37" t="n">
        <f aca="false">'Assumptions &amp; Data'!D620</f>
        <v>31184</v>
      </c>
      <c r="F486" s="39" t="n">
        <f aca="false">E486*'Assumptions &amp; Data'!E620</f>
        <v>22440006.4</v>
      </c>
      <c r="G486" s="39" t="n">
        <f aca="false">F486*'Assumptions &amp; Data'!F620</f>
        <v>1330692.37952</v>
      </c>
      <c r="H486" s="39" t="n">
        <f aca="false">F486-G486</f>
        <v>21109314.02048</v>
      </c>
      <c r="I486" s="39" t="n">
        <f aca="false">H486*'Assumptions &amp; Data'!G620</f>
        <v>3578028.72647136</v>
      </c>
      <c r="J486" s="39" t="n">
        <f aca="false">E486*'Assumptions &amp; Data'!H620</f>
        <v>374519.84</v>
      </c>
      <c r="K486" s="39" t="n">
        <f aca="false">H486*'Assumptions &amp; Data'!I620</f>
        <v>595282.655377536</v>
      </c>
      <c r="L486" s="39" t="n">
        <f aca="false">H486*'Assumptions &amp; Data'!J620</f>
        <v>519289.124903808</v>
      </c>
      <c r="M486" s="39" t="n">
        <f aca="false">I486+J486+K486-L486</f>
        <v>4028542.09694509</v>
      </c>
      <c r="N486" s="39" t="n">
        <f aca="false">E486*'Assumptions &amp; Data'!N620</f>
        <v>1244553.44</v>
      </c>
      <c r="O486" s="39" t="n">
        <f aca="false">E486*'Assumptions &amp; Data'!O620</f>
        <v>329614.88</v>
      </c>
      <c r="P486" s="39" t="n">
        <f aca="false">H486*'Assumptions &amp; Data'!P620</f>
        <v>211093.1402048</v>
      </c>
      <c r="Q486" s="39" t="n">
        <f aca="false">M486-N486-O486-P486</f>
        <v>2243280.63674029</v>
      </c>
      <c r="R486" s="39" t="n">
        <f aca="false">'Assumptions &amp; Data'!L620*'Assumptions &amp; Data'!M620</f>
        <v>531360</v>
      </c>
      <c r="S486" s="37" t="n">
        <f aca="false">'Assumptions &amp; Data'!Q620</f>
        <v>530000</v>
      </c>
      <c r="T486" s="37" t="n">
        <f aca="false">'Assumptions &amp; Data'!R620</f>
        <v>193663</v>
      </c>
      <c r="U486" s="37" t="n">
        <f aca="false">'Assumptions &amp; Data'!S620</f>
        <v>297858</v>
      </c>
      <c r="V486" s="39" t="n">
        <f aca="false">Q486-R486-S486-T486-U486</f>
        <v>690399.636740289</v>
      </c>
      <c r="W486" s="39" t="n">
        <f aca="false">DAY(EOMONTH(C486,0))</f>
        <v>31</v>
      </c>
      <c r="X486" s="40" t="n">
        <f aca="false">E486/W486</f>
        <v>1005.93548387097</v>
      </c>
      <c r="Y486" s="39" t="n">
        <f aca="false">R486+S486+T486+U486</f>
        <v>1552881</v>
      </c>
    </row>
    <row r="487" customFormat="false" ht="15" hidden="false" customHeight="false" outlineLevel="0" collapsed="false">
      <c r="A487" s="37" t="str">
        <f aca="false">'Assumptions &amp; Data'!A621</f>
        <v>SM0417</v>
      </c>
      <c r="B487" s="37" t="str">
        <f aca="false">'Assumptions &amp; Data'!B621</f>
        <v>DS035</v>
      </c>
      <c r="C487" s="38" t="n">
        <f aca="false">'Assumptions &amp; Data'!C621</f>
        <v>46174</v>
      </c>
      <c r="D487" s="39" t="str">
        <f aca="false">INDEX('Assumptions &amp; Data'!$B$142:$B$201,MATCH(B487,'Assumptions &amp; Data'!$A$142:$A$201,0))</f>
        <v>Bengaluru</v>
      </c>
      <c r="E487" s="37" t="n">
        <f aca="false">'Assumptions &amp; Data'!D621</f>
        <v>30762</v>
      </c>
      <c r="F487" s="39" t="n">
        <f aca="false">E487*'Assumptions &amp; Data'!E621</f>
        <v>22050201.6</v>
      </c>
      <c r="G487" s="39" t="n">
        <f aca="false">F487*'Assumptions &amp; Data'!F621</f>
        <v>1314192.01536</v>
      </c>
      <c r="H487" s="39" t="n">
        <f aca="false">F487-G487</f>
        <v>20736009.58464</v>
      </c>
      <c r="I487" s="39" t="n">
        <f aca="false">H487*'Assumptions &amp; Data'!G621</f>
        <v>3512680.02363802</v>
      </c>
      <c r="J487" s="39" t="n">
        <f aca="false">E487*'Assumptions &amp; Data'!H621</f>
        <v>370682.1</v>
      </c>
      <c r="K487" s="39" t="n">
        <f aca="false">H487*'Assumptions &amp; Data'!I621</f>
        <v>584755.470286848</v>
      </c>
      <c r="L487" s="39" t="n">
        <f aca="false">H487*'Assumptions &amp; Data'!J621</f>
        <v>487296.22523904</v>
      </c>
      <c r="M487" s="39" t="n">
        <f aca="false">I487+J487+K487-L487</f>
        <v>3980821.36868582</v>
      </c>
      <c r="N487" s="39" t="n">
        <f aca="false">E487*'Assumptions &amp; Data'!N621</f>
        <v>1231710.48</v>
      </c>
      <c r="O487" s="39" t="n">
        <f aca="false">E487*'Assumptions &amp; Data'!O621</f>
        <v>324539.1</v>
      </c>
      <c r="P487" s="39" t="n">
        <f aca="false">H487*'Assumptions &amp; Data'!P621</f>
        <v>209433.696804864</v>
      </c>
      <c r="Q487" s="39" t="n">
        <f aca="false">M487-N487-O487-P487</f>
        <v>2215138.09188096</v>
      </c>
      <c r="R487" s="39" t="n">
        <f aca="false">'Assumptions &amp; Data'!L621*'Assumptions &amp; Data'!M621</f>
        <v>554000</v>
      </c>
      <c r="S487" s="37" t="n">
        <f aca="false">'Assumptions &amp; Data'!Q621</f>
        <v>530000</v>
      </c>
      <c r="T487" s="37" t="n">
        <f aca="false">'Assumptions &amp; Data'!R621</f>
        <v>191090</v>
      </c>
      <c r="U487" s="37" t="n">
        <f aca="false">'Assumptions &amp; Data'!S621</f>
        <v>288396</v>
      </c>
      <c r="V487" s="39" t="n">
        <f aca="false">Q487-R487-S487-T487-U487</f>
        <v>651652.09188096</v>
      </c>
      <c r="W487" s="39" t="n">
        <f aca="false">DAY(EOMONTH(C487,0))</f>
        <v>30</v>
      </c>
      <c r="X487" s="40" t="n">
        <f aca="false">E487/W487</f>
        <v>1025.4</v>
      </c>
      <c r="Y487" s="39" t="n">
        <f aca="false">R487+S487+T487+U487</f>
        <v>1563486</v>
      </c>
    </row>
    <row r="488" customFormat="false" ht="15" hidden="false" customHeight="false" outlineLevel="0" collapsed="false">
      <c r="A488" s="37" t="str">
        <f aca="false">'Assumptions &amp; Data'!A622</f>
        <v>SM0418</v>
      </c>
      <c r="B488" s="37" t="str">
        <f aca="false">'Assumptions &amp; Data'!B622</f>
        <v>DS035</v>
      </c>
      <c r="C488" s="38" t="n">
        <f aca="false">'Assumptions &amp; Data'!C622</f>
        <v>46204</v>
      </c>
      <c r="D488" s="39" t="str">
        <f aca="false">INDEX('Assumptions &amp; Data'!$B$142:$B$201,MATCH(B488,'Assumptions &amp; Data'!$A$142:$A$201,0))</f>
        <v>Bengaluru</v>
      </c>
      <c r="E488" s="37" t="n">
        <f aca="false">'Assumptions &amp; Data'!D622</f>
        <v>31266</v>
      </c>
      <c r="F488" s="39" t="n">
        <f aca="false">E488*'Assumptions &amp; Data'!E622</f>
        <v>22026897</v>
      </c>
      <c r="G488" s="39" t="n">
        <f aca="false">F488*'Assumptions &amp; Data'!F622</f>
        <v>1242316.9908</v>
      </c>
      <c r="H488" s="39" t="n">
        <f aca="false">F488-G488</f>
        <v>20784580.0092</v>
      </c>
      <c r="I488" s="39" t="n">
        <f aca="false">H488*'Assumptions &amp; Data'!G622</f>
        <v>3452318.73952812</v>
      </c>
      <c r="J488" s="39" t="n">
        <f aca="false">E488*'Assumptions &amp; Data'!H622</f>
        <v>362372.94</v>
      </c>
      <c r="K488" s="39" t="n">
        <f aca="false">H488*'Assumptions &amp; Data'!I622</f>
        <v>608988.19426956</v>
      </c>
      <c r="L488" s="39" t="n">
        <f aca="false">H488*'Assumptions &amp; Data'!J622</f>
        <v>482202.25621344</v>
      </c>
      <c r="M488" s="39" t="n">
        <f aca="false">I488+J488+K488-L488</f>
        <v>3941477.61758424</v>
      </c>
      <c r="N488" s="39" t="n">
        <f aca="false">E488*'Assumptions &amp; Data'!N622</f>
        <v>1248138.72</v>
      </c>
      <c r="O488" s="39" t="n">
        <f aca="false">E488*'Assumptions &amp; Data'!O622</f>
        <v>331106.94</v>
      </c>
      <c r="P488" s="39" t="n">
        <f aca="false">H488*'Assumptions &amp; Data'!P622</f>
        <v>203688.88409016</v>
      </c>
      <c r="Q488" s="39" t="n">
        <f aca="false">M488-N488-O488-P488</f>
        <v>2158543.07349408</v>
      </c>
      <c r="R488" s="39" t="n">
        <f aca="false">'Assumptions &amp; Data'!L622*'Assumptions &amp; Data'!M622</f>
        <v>532320</v>
      </c>
      <c r="S488" s="37" t="n">
        <f aca="false">'Assumptions &amp; Data'!Q622</f>
        <v>530000</v>
      </c>
      <c r="T488" s="37" t="n">
        <f aca="false">'Assumptions &amp; Data'!R622</f>
        <v>191754</v>
      </c>
      <c r="U488" s="37" t="n">
        <f aca="false">'Assumptions &amp; Data'!S622</f>
        <v>270388</v>
      </c>
      <c r="V488" s="39" t="n">
        <f aca="false">Q488-R488-S488-T488-U488</f>
        <v>634081.07349408</v>
      </c>
      <c r="W488" s="39" t="n">
        <f aca="false">DAY(EOMONTH(C488,0))</f>
        <v>31</v>
      </c>
      <c r="X488" s="40" t="n">
        <f aca="false">E488/W488</f>
        <v>1008.58064516129</v>
      </c>
      <c r="Y488" s="39" t="n">
        <f aca="false">R488+S488+T488+U488</f>
        <v>1524462</v>
      </c>
    </row>
    <row r="489" customFormat="false" ht="15" hidden="false" customHeight="false" outlineLevel="0" collapsed="false">
      <c r="A489" s="37" t="str">
        <f aca="false">'Assumptions &amp; Data'!A623</f>
        <v>SM0419</v>
      </c>
      <c r="B489" s="37" t="str">
        <f aca="false">'Assumptions &amp; Data'!B623</f>
        <v>DS035</v>
      </c>
      <c r="C489" s="38" t="n">
        <f aca="false">'Assumptions &amp; Data'!C623</f>
        <v>46235</v>
      </c>
      <c r="D489" s="39" t="str">
        <f aca="false">INDEX('Assumptions &amp; Data'!$B$142:$B$201,MATCH(B489,'Assumptions &amp; Data'!$A$142:$A$201,0))</f>
        <v>Bengaluru</v>
      </c>
      <c r="E489" s="37" t="n">
        <f aca="false">'Assumptions &amp; Data'!D623</f>
        <v>31527</v>
      </c>
      <c r="F489" s="39" t="n">
        <f aca="false">E489*'Assumptions &amp; Data'!E623</f>
        <v>22519736.1</v>
      </c>
      <c r="G489" s="39" t="n">
        <f aca="false">F489*'Assumptions &amp; Data'!F623</f>
        <v>1216065.7494</v>
      </c>
      <c r="H489" s="39" t="n">
        <f aca="false">F489-G489</f>
        <v>21303670.3506</v>
      </c>
      <c r="I489" s="39" t="n">
        <f aca="false">H489*'Assumptions &amp; Data'!G623</f>
        <v>3538539.64523466</v>
      </c>
      <c r="J489" s="39" t="n">
        <f aca="false">E489*'Assumptions &amp; Data'!H623</f>
        <v>405437.22</v>
      </c>
      <c r="K489" s="39" t="n">
        <f aca="false">H489*'Assumptions &amp; Data'!I623</f>
        <v>590111.66871162</v>
      </c>
      <c r="L489" s="39" t="n">
        <f aca="false">H489*'Assumptions &amp; Data'!J623</f>
        <v>504896.98730922</v>
      </c>
      <c r="M489" s="39" t="n">
        <f aca="false">I489+J489+K489-L489</f>
        <v>4029191.54663706</v>
      </c>
      <c r="N489" s="39" t="n">
        <f aca="false">E489*'Assumptions &amp; Data'!N623</f>
        <v>1272114.45</v>
      </c>
      <c r="O489" s="39" t="n">
        <f aca="false">E489*'Assumptions &amp; Data'!O623</f>
        <v>333240.39</v>
      </c>
      <c r="P489" s="39" t="n">
        <f aca="false">H489*'Assumptions &amp; Data'!P623</f>
        <v>195993.76722552</v>
      </c>
      <c r="Q489" s="39" t="n">
        <f aca="false">M489-N489-O489-P489</f>
        <v>2227842.93941154</v>
      </c>
      <c r="R489" s="39" t="n">
        <f aca="false">'Assumptions &amp; Data'!L623*'Assumptions &amp; Data'!M623</f>
        <v>532800</v>
      </c>
      <c r="S489" s="37" t="n">
        <f aca="false">'Assumptions &amp; Data'!Q623</f>
        <v>530000</v>
      </c>
      <c r="T489" s="37" t="n">
        <f aca="false">'Assumptions &amp; Data'!R623</f>
        <v>193941</v>
      </c>
      <c r="U489" s="37" t="n">
        <f aca="false">'Assumptions &amp; Data'!S623</f>
        <v>273856</v>
      </c>
      <c r="V489" s="39" t="n">
        <f aca="false">Q489-R489-S489-T489-U489</f>
        <v>697245.93941154</v>
      </c>
      <c r="W489" s="39" t="n">
        <f aca="false">DAY(EOMONTH(C489,0))</f>
        <v>31</v>
      </c>
      <c r="X489" s="40" t="n">
        <f aca="false">E489/W489</f>
        <v>1017</v>
      </c>
      <c r="Y489" s="39" t="n">
        <f aca="false">R489+S489+T489+U489</f>
        <v>1530597</v>
      </c>
    </row>
    <row r="490" customFormat="false" ht="15" hidden="false" customHeight="false" outlineLevel="0" collapsed="false">
      <c r="A490" s="37" t="str">
        <f aca="false">'Assumptions &amp; Data'!A624</f>
        <v>SM0420</v>
      </c>
      <c r="B490" s="37" t="str">
        <f aca="false">'Assumptions &amp; Data'!B624</f>
        <v>DS035</v>
      </c>
      <c r="C490" s="38" t="n">
        <f aca="false">'Assumptions &amp; Data'!C624</f>
        <v>46266</v>
      </c>
      <c r="D490" s="39" t="str">
        <f aca="false">INDEX('Assumptions &amp; Data'!$B$142:$B$201,MATCH(B490,'Assumptions &amp; Data'!$A$142:$A$201,0))</f>
        <v>Bengaluru</v>
      </c>
      <c r="E490" s="37" t="n">
        <f aca="false">'Assumptions &amp; Data'!D624</f>
        <v>33738</v>
      </c>
      <c r="F490" s="39" t="n">
        <f aca="false">E490*'Assumptions &amp; Data'!E624</f>
        <v>23586235.8</v>
      </c>
      <c r="G490" s="39" t="n">
        <f aca="false">F490*'Assumptions &amp; Data'!F624</f>
        <v>1184029.03716</v>
      </c>
      <c r="H490" s="39" t="n">
        <f aca="false">F490-G490</f>
        <v>22402206.76284</v>
      </c>
      <c r="I490" s="39" t="n">
        <f aca="false">H490*'Assumptions &amp; Data'!G624</f>
        <v>3750129.41209942</v>
      </c>
      <c r="J490" s="39" t="n">
        <f aca="false">E490*'Assumptions &amp; Data'!H624</f>
        <v>411266.22</v>
      </c>
      <c r="K490" s="39" t="n">
        <f aca="false">H490*'Assumptions &amp; Data'!I624</f>
        <v>647423.775446076</v>
      </c>
      <c r="L490" s="39" t="n">
        <f aca="false">H490*'Assumptions &amp; Data'!J624</f>
        <v>535412.741631876</v>
      </c>
      <c r="M490" s="39" t="n">
        <f aca="false">I490+J490+K490-L490</f>
        <v>4273406.66591362</v>
      </c>
      <c r="N490" s="39" t="n">
        <f aca="false">E490*'Assumptions &amp; Data'!N624</f>
        <v>1356267.6</v>
      </c>
      <c r="O490" s="39" t="n">
        <f aca="false">E490*'Assumptions &amp; Data'!O624</f>
        <v>357960.18</v>
      </c>
      <c r="P490" s="39" t="n">
        <f aca="false">H490*'Assumptions &amp; Data'!P624</f>
        <v>212820.96424698</v>
      </c>
      <c r="Q490" s="39" t="n">
        <f aca="false">M490-N490-O490-P490</f>
        <v>2346357.92166664</v>
      </c>
      <c r="R490" s="39" t="n">
        <f aca="false">'Assumptions &amp; Data'!L624*'Assumptions &amp; Data'!M624</f>
        <v>622160</v>
      </c>
      <c r="S490" s="37" t="n">
        <f aca="false">'Assumptions &amp; Data'!Q624</f>
        <v>530000</v>
      </c>
      <c r="T490" s="37" t="n">
        <f aca="false">'Assumptions &amp; Data'!R624</f>
        <v>182081</v>
      </c>
      <c r="U490" s="37" t="n">
        <f aca="false">'Assumptions &amp; Data'!S624</f>
        <v>268814</v>
      </c>
      <c r="V490" s="39" t="n">
        <f aca="false">Q490-R490-S490-T490-U490</f>
        <v>743302.921666636</v>
      </c>
      <c r="W490" s="39" t="n">
        <f aca="false">DAY(EOMONTH(C490,0))</f>
        <v>30</v>
      </c>
      <c r="X490" s="40" t="n">
        <f aca="false">E490/W490</f>
        <v>1124.6</v>
      </c>
      <c r="Y490" s="39" t="n">
        <f aca="false">R490+S490+T490+U490</f>
        <v>1603055</v>
      </c>
    </row>
    <row r="491" customFormat="false" ht="15" hidden="false" customHeight="false" outlineLevel="0" collapsed="false">
      <c r="A491" s="37" t="str">
        <f aca="false">'Assumptions &amp; Data'!A625</f>
        <v>SM0421</v>
      </c>
      <c r="B491" s="37" t="str">
        <f aca="false">'Assumptions &amp; Data'!B625</f>
        <v>DS036</v>
      </c>
      <c r="C491" s="38" t="n">
        <f aca="false">'Assumptions &amp; Data'!C625</f>
        <v>45931</v>
      </c>
      <c r="D491" s="39" t="str">
        <f aca="false">INDEX('Assumptions &amp; Data'!$B$142:$B$201,MATCH(B491,'Assumptions &amp; Data'!$A$142:$A$201,0))</f>
        <v>Bengaluru</v>
      </c>
      <c r="E491" s="37" t="n">
        <f aca="false">'Assumptions &amp; Data'!D625</f>
        <v>58130</v>
      </c>
      <c r="F491" s="39" t="n">
        <f aca="false">E491*'Assumptions &amp; Data'!E625</f>
        <v>40371285</v>
      </c>
      <c r="G491" s="39" t="n">
        <f aca="false">F491*'Assumptions &amp; Data'!F625</f>
        <v>2111418.2055</v>
      </c>
      <c r="H491" s="39" t="n">
        <f aca="false">F491-G491</f>
        <v>38259866.7945</v>
      </c>
      <c r="I491" s="39" t="n">
        <f aca="false">H491*'Assumptions &amp; Data'!G625</f>
        <v>6530959.26182115</v>
      </c>
      <c r="J491" s="39" t="n">
        <f aca="false">E491*'Assumptions &amp; Data'!H625</f>
        <v>744645.3</v>
      </c>
      <c r="K491" s="39" t="n">
        <f aca="false">H491*'Assumptions &amp; Data'!I625</f>
        <v>1274053.56425685</v>
      </c>
      <c r="L491" s="39" t="n">
        <f aca="false">H491*'Assumptions &amp; Data'!J625</f>
        <v>1078928.2436049</v>
      </c>
      <c r="M491" s="39" t="n">
        <f aca="false">I491+J491+K491-L491</f>
        <v>7470729.8824731</v>
      </c>
      <c r="N491" s="39" t="n">
        <f aca="false">E491*'Assumptions &amp; Data'!N625</f>
        <v>2188013.2</v>
      </c>
      <c r="O491" s="39" t="n">
        <f aca="false">E491*'Assumptions &amp; Data'!O625</f>
        <v>621991</v>
      </c>
      <c r="P491" s="39" t="n">
        <f aca="false">H491*'Assumptions &amp; Data'!P625</f>
        <v>382598.667945</v>
      </c>
      <c r="Q491" s="39" t="n">
        <f aca="false">M491-N491-O491-P491</f>
        <v>4278127.0145281</v>
      </c>
      <c r="R491" s="39" t="n">
        <f aca="false">'Assumptions &amp; Data'!L625*'Assumptions &amp; Data'!M625</f>
        <v>990000</v>
      </c>
      <c r="S491" s="37" t="n">
        <f aca="false">'Assumptions &amp; Data'!Q625</f>
        <v>570000</v>
      </c>
      <c r="T491" s="37" t="n">
        <f aca="false">'Assumptions &amp; Data'!R625</f>
        <v>183729</v>
      </c>
      <c r="U491" s="37" t="n">
        <f aca="false">'Assumptions &amp; Data'!S625</f>
        <v>277468</v>
      </c>
      <c r="V491" s="39" t="n">
        <f aca="false">Q491-R491-S491-T491-U491</f>
        <v>2256930.0145281</v>
      </c>
      <c r="W491" s="39" t="n">
        <f aca="false">DAY(EOMONTH(C491,0))</f>
        <v>31</v>
      </c>
      <c r="X491" s="40" t="n">
        <f aca="false">E491/W491</f>
        <v>1875.16129032258</v>
      </c>
      <c r="Y491" s="39" t="n">
        <f aca="false">R491+S491+T491+U491</f>
        <v>2021197</v>
      </c>
    </row>
    <row r="492" customFormat="false" ht="15" hidden="false" customHeight="false" outlineLevel="0" collapsed="false">
      <c r="A492" s="37" t="str">
        <f aca="false">'Assumptions &amp; Data'!A626</f>
        <v>SM0422</v>
      </c>
      <c r="B492" s="37" t="str">
        <f aca="false">'Assumptions &amp; Data'!B626</f>
        <v>DS036</v>
      </c>
      <c r="C492" s="38" t="n">
        <f aca="false">'Assumptions &amp; Data'!C626</f>
        <v>45962</v>
      </c>
      <c r="D492" s="39" t="str">
        <f aca="false">INDEX('Assumptions &amp; Data'!$B$142:$B$201,MATCH(B492,'Assumptions &amp; Data'!$A$142:$A$201,0))</f>
        <v>Bengaluru</v>
      </c>
      <c r="E492" s="37" t="n">
        <f aca="false">'Assumptions &amp; Data'!D626</f>
        <v>51753</v>
      </c>
      <c r="F492" s="39" t="n">
        <f aca="false">E492*'Assumptions &amp; Data'!E626</f>
        <v>36097717.5</v>
      </c>
      <c r="G492" s="39" t="n">
        <f aca="false">F492*'Assumptions &amp; Data'!F626</f>
        <v>1757958.84225</v>
      </c>
      <c r="H492" s="39" t="n">
        <f aca="false">F492-G492</f>
        <v>34339758.65775</v>
      </c>
      <c r="I492" s="39" t="n">
        <f aca="false">H492*'Assumptions &amp; Data'!G626</f>
        <v>5813721.14075708</v>
      </c>
      <c r="J492" s="39" t="n">
        <f aca="false">E492*'Assumptions &amp; Data'!H626</f>
        <v>676411.71</v>
      </c>
      <c r="K492" s="39" t="n">
        <f aca="false">H492*'Assumptions &amp; Data'!I626</f>
        <v>1129778.05983998</v>
      </c>
      <c r="L492" s="39" t="n">
        <f aca="false">H492*'Assumptions &amp; Data'!J626</f>
        <v>992419.025208975</v>
      </c>
      <c r="M492" s="39" t="n">
        <f aca="false">I492+J492+K492-L492</f>
        <v>6627491.88538808</v>
      </c>
      <c r="N492" s="39" t="n">
        <f aca="false">E492*'Assumptions &amp; Data'!N626</f>
        <v>1879151.43</v>
      </c>
      <c r="O492" s="39" t="n">
        <f aca="false">E492*'Assumptions &amp; Data'!O626</f>
        <v>568765.47</v>
      </c>
      <c r="P492" s="39" t="n">
        <f aca="false">H492*'Assumptions &amp; Data'!P626</f>
        <v>333095.658980175</v>
      </c>
      <c r="Q492" s="39" t="n">
        <f aca="false">M492-N492-O492-P492</f>
        <v>3846479.3264079</v>
      </c>
      <c r="R492" s="39" t="n">
        <f aca="false">'Assumptions &amp; Data'!L626*'Assumptions &amp; Data'!M626</f>
        <v>924840</v>
      </c>
      <c r="S492" s="37" t="n">
        <f aca="false">'Assumptions &amp; Data'!Q626</f>
        <v>570000</v>
      </c>
      <c r="T492" s="37" t="n">
        <f aca="false">'Assumptions &amp; Data'!R626</f>
        <v>193555</v>
      </c>
      <c r="U492" s="37" t="n">
        <f aca="false">'Assumptions &amp; Data'!S626</f>
        <v>260847</v>
      </c>
      <c r="V492" s="39" t="n">
        <f aca="false">Q492-R492-S492-T492-U492</f>
        <v>1897237.3264079</v>
      </c>
      <c r="W492" s="39" t="n">
        <f aca="false">DAY(EOMONTH(C492,0))</f>
        <v>30</v>
      </c>
      <c r="X492" s="40" t="n">
        <f aca="false">E492/W492</f>
        <v>1725.1</v>
      </c>
      <c r="Y492" s="39" t="n">
        <f aca="false">R492+S492+T492+U492</f>
        <v>1949242</v>
      </c>
    </row>
    <row r="493" customFormat="false" ht="15" hidden="false" customHeight="false" outlineLevel="0" collapsed="false">
      <c r="A493" s="37" t="str">
        <f aca="false">'Assumptions &amp; Data'!A627</f>
        <v>SM0423</v>
      </c>
      <c r="B493" s="37" t="str">
        <f aca="false">'Assumptions &amp; Data'!B627</f>
        <v>DS036</v>
      </c>
      <c r="C493" s="38" t="n">
        <f aca="false">'Assumptions &amp; Data'!C627</f>
        <v>45992</v>
      </c>
      <c r="D493" s="39" t="str">
        <f aca="false">INDEX('Assumptions &amp; Data'!$B$142:$B$201,MATCH(B493,'Assumptions &amp; Data'!$A$142:$A$201,0))</f>
        <v>Bengaluru</v>
      </c>
      <c r="E493" s="37" t="n">
        <f aca="false">'Assumptions &amp; Data'!D627</f>
        <v>55253</v>
      </c>
      <c r="F493" s="39" t="n">
        <f aca="false">E493*'Assumptions &amp; Data'!E627</f>
        <v>38533442.2</v>
      </c>
      <c r="G493" s="39" t="n">
        <f aca="false">F493*'Assumptions &amp; Data'!F627</f>
        <v>1980618.92908</v>
      </c>
      <c r="H493" s="39" t="n">
        <f aca="false">F493-G493</f>
        <v>36552823.27092</v>
      </c>
      <c r="I493" s="39" t="n">
        <f aca="false">H493*'Assumptions &amp; Data'!G627</f>
        <v>6097010.92158946</v>
      </c>
      <c r="J493" s="39" t="n">
        <f aca="false">E493*'Assumptions &amp; Data'!H627</f>
        <v>719946.59</v>
      </c>
      <c r="K493" s="39" t="n">
        <f aca="false">H493*'Assumptions &amp; Data'!I627</f>
        <v>1169690.34466944</v>
      </c>
      <c r="L493" s="39" t="n">
        <f aca="false">H493*'Assumptions &amp; Data'!J627</f>
        <v>1005202.6399503</v>
      </c>
      <c r="M493" s="39" t="n">
        <f aca="false">I493+J493+K493-L493</f>
        <v>6981445.2163086</v>
      </c>
      <c r="N493" s="39" t="n">
        <f aca="false">E493*'Assumptions &amp; Data'!N627</f>
        <v>2073645.09</v>
      </c>
      <c r="O493" s="39" t="n">
        <f aca="false">E493*'Assumptions &amp; Data'!O627</f>
        <v>591759.63</v>
      </c>
      <c r="P493" s="39" t="n">
        <f aca="false">H493*'Assumptions &amp; Data'!P627</f>
        <v>372838.797363384</v>
      </c>
      <c r="Q493" s="39" t="n">
        <f aca="false">M493-N493-O493-P493</f>
        <v>3943201.69894521</v>
      </c>
      <c r="R493" s="39" t="n">
        <f aca="false">'Assumptions &amp; Data'!L627*'Assumptions &amp; Data'!M627</f>
        <v>947720</v>
      </c>
      <c r="S493" s="37" t="n">
        <f aca="false">'Assumptions &amp; Data'!Q627</f>
        <v>570000</v>
      </c>
      <c r="T493" s="37" t="n">
        <f aca="false">'Assumptions &amp; Data'!R627</f>
        <v>181704</v>
      </c>
      <c r="U493" s="37" t="n">
        <f aca="false">'Assumptions &amp; Data'!S627</f>
        <v>283253</v>
      </c>
      <c r="V493" s="39" t="n">
        <f aca="false">Q493-R493-S493-T493-U493</f>
        <v>1960524.69894521</v>
      </c>
      <c r="W493" s="39" t="n">
        <f aca="false">DAY(EOMONTH(C493,0))</f>
        <v>31</v>
      </c>
      <c r="X493" s="40" t="n">
        <f aca="false">E493/W493</f>
        <v>1782.35483870968</v>
      </c>
      <c r="Y493" s="39" t="n">
        <f aca="false">R493+S493+T493+U493</f>
        <v>1982677</v>
      </c>
    </row>
    <row r="494" customFormat="false" ht="15" hidden="false" customHeight="false" outlineLevel="0" collapsed="false">
      <c r="A494" s="37" t="str">
        <f aca="false">'Assumptions &amp; Data'!A628</f>
        <v>SM0424</v>
      </c>
      <c r="B494" s="37" t="str">
        <f aca="false">'Assumptions &amp; Data'!B628</f>
        <v>DS036</v>
      </c>
      <c r="C494" s="38" t="n">
        <f aca="false">'Assumptions &amp; Data'!C628</f>
        <v>46023</v>
      </c>
      <c r="D494" s="39" t="str">
        <f aca="false">INDEX('Assumptions &amp; Data'!$B$142:$B$201,MATCH(B494,'Assumptions &amp; Data'!$A$142:$A$201,0))</f>
        <v>Bengaluru</v>
      </c>
      <c r="E494" s="37" t="n">
        <f aca="false">'Assumptions &amp; Data'!D628</f>
        <v>52437</v>
      </c>
      <c r="F494" s="39" t="n">
        <f aca="false">E494*'Assumptions &amp; Data'!E628</f>
        <v>35316319.5</v>
      </c>
      <c r="G494" s="39" t="n">
        <f aca="false">F494*'Assumptions &amp; Data'!F628</f>
        <v>1900017.9891</v>
      </c>
      <c r="H494" s="39" t="n">
        <f aca="false">F494-G494</f>
        <v>33416301.5109</v>
      </c>
      <c r="I494" s="39" t="n">
        <f aca="false">H494*'Assumptions &amp; Data'!G628</f>
        <v>5757628.75032807</v>
      </c>
      <c r="J494" s="39" t="n">
        <f aca="false">E494*'Assumptions &amp; Data'!H628</f>
        <v>669620.49</v>
      </c>
      <c r="K494" s="39" t="n">
        <f aca="false">H494*'Assumptions &amp; Data'!I628</f>
        <v>1132812.62121951</v>
      </c>
      <c r="L494" s="39" t="n">
        <f aca="false">H494*'Assumptions &amp; Data'!J628</f>
        <v>965731.11366501</v>
      </c>
      <c r="M494" s="39" t="n">
        <f aca="false">I494+J494+K494-L494</f>
        <v>6594330.74788257</v>
      </c>
      <c r="N494" s="39" t="n">
        <f aca="false">E494*'Assumptions &amp; Data'!N628</f>
        <v>1933352.19</v>
      </c>
      <c r="O494" s="39" t="n">
        <f aca="false">E494*'Assumptions &amp; Data'!O628</f>
        <v>554783.46</v>
      </c>
      <c r="P494" s="39" t="n">
        <f aca="false">H494*'Assumptions &amp; Data'!P628</f>
        <v>324138.12465573</v>
      </c>
      <c r="Q494" s="39" t="n">
        <f aca="false">M494-N494-O494-P494</f>
        <v>3782056.97322684</v>
      </c>
      <c r="R494" s="39" t="n">
        <f aca="false">'Assumptions &amp; Data'!L628*'Assumptions &amp; Data'!M628</f>
        <v>882400</v>
      </c>
      <c r="S494" s="37" t="n">
        <f aca="false">'Assumptions &amp; Data'!Q628</f>
        <v>570000</v>
      </c>
      <c r="T494" s="37" t="n">
        <f aca="false">'Assumptions &amp; Data'!R628</f>
        <v>193763</v>
      </c>
      <c r="U494" s="37" t="n">
        <f aca="false">'Assumptions &amp; Data'!S628</f>
        <v>251393</v>
      </c>
      <c r="V494" s="39" t="n">
        <f aca="false">Q494-R494-S494-T494-U494</f>
        <v>1884500.97322684</v>
      </c>
      <c r="W494" s="39" t="n">
        <f aca="false">DAY(EOMONTH(C494,0))</f>
        <v>31</v>
      </c>
      <c r="X494" s="40" t="n">
        <f aca="false">E494/W494</f>
        <v>1691.51612903226</v>
      </c>
      <c r="Y494" s="39" t="n">
        <f aca="false">R494+S494+T494+U494</f>
        <v>1897556</v>
      </c>
    </row>
    <row r="495" customFormat="false" ht="15" hidden="false" customHeight="false" outlineLevel="0" collapsed="false">
      <c r="A495" s="37" t="str">
        <f aca="false">'Assumptions &amp; Data'!A629</f>
        <v>SM0425</v>
      </c>
      <c r="B495" s="37" t="str">
        <f aca="false">'Assumptions &amp; Data'!B629</f>
        <v>DS036</v>
      </c>
      <c r="C495" s="38" t="n">
        <f aca="false">'Assumptions &amp; Data'!C629</f>
        <v>46054</v>
      </c>
      <c r="D495" s="39" t="str">
        <f aca="false">INDEX('Assumptions &amp; Data'!$B$142:$B$201,MATCH(B495,'Assumptions &amp; Data'!$A$142:$A$201,0))</f>
        <v>Bengaluru</v>
      </c>
      <c r="E495" s="37" t="n">
        <f aca="false">'Assumptions &amp; Data'!D629</f>
        <v>45756</v>
      </c>
      <c r="F495" s="39" t="n">
        <f aca="false">E495*'Assumptions &amp; Data'!E629</f>
        <v>32001746.4</v>
      </c>
      <c r="G495" s="39" t="n">
        <f aca="false">F495*'Assumptions &amp; Data'!F629</f>
        <v>1731294.48024</v>
      </c>
      <c r="H495" s="39" t="n">
        <f aca="false">F495-G495</f>
        <v>30270451.91976</v>
      </c>
      <c r="I495" s="39" t="n">
        <f aca="false">H495*'Assumptions &amp; Data'!G629</f>
        <v>5073327.74175178</v>
      </c>
      <c r="J495" s="39" t="n">
        <f aca="false">E495*'Assumptions &amp; Data'!H629</f>
        <v>589337.28</v>
      </c>
      <c r="K495" s="39" t="n">
        <f aca="false">H495*'Assumptions &amp; Data'!I629</f>
        <v>971681.506624296</v>
      </c>
      <c r="L495" s="39" t="n">
        <f aca="false">H495*'Assumptions &amp; Data'!J629</f>
        <v>865734.924905136</v>
      </c>
      <c r="M495" s="39" t="n">
        <f aca="false">I495+J495+K495-L495</f>
        <v>5768611.60347094</v>
      </c>
      <c r="N495" s="39" t="n">
        <f aca="false">E495*'Assumptions &amp; Data'!N629</f>
        <v>1733237.28</v>
      </c>
      <c r="O495" s="39" t="n">
        <f aca="false">E495*'Assumptions &amp; Data'!O629</f>
        <v>491877</v>
      </c>
      <c r="P495" s="39" t="n">
        <f aca="false">H495*'Assumptions &amp; Data'!P629</f>
        <v>293623.383621672</v>
      </c>
      <c r="Q495" s="39" t="n">
        <f aca="false">M495-N495-O495-P495</f>
        <v>3249873.93984926</v>
      </c>
      <c r="R495" s="39" t="n">
        <f aca="false">'Assumptions &amp; Data'!L629*'Assumptions &amp; Data'!M629</f>
        <v>883200</v>
      </c>
      <c r="S495" s="37" t="n">
        <f aca="false">'Assumptions &amp; Data'!Q629</f>
        <v>570000</v>
      </c>
      <c r="T495" s="37" t="n">
        <f aca="false">'Assumptions &amp; Data'!R629</f>
        <v>183612</v>
      </c>
      <c r="U495" s="37" t="n">
        <f aca="false">'Assumptions &amp; Data'!S629</f>
        <v>243342</v>
      </c>
      <c r="V495" s="39" t="n">
        <f aca="false">Q495-R495-S495-T495-U495</f>
        <v>1369719.93984926</v>
      </c>
      <c r="W495" s="39" t="n">
        <f aca="false">DAY(EOMONTH(C495,0))</f>
        <v>28</v>
      </c>
      <c r="X495" s="40" t="n">
        <f aca="false">E495/W495</f>
        <v>1634.14285714286</v>
      </c>
      <c r="Y495" s="39" t="n">
        <f aca="false">R495+S495+T495+U495</f>
        <v>1880154</v>
      </c>
    </row>
    <row r="496" customFormat="false" ht="15" hidden="false" customHeight="false" outlineLevel="0" collapsed="false">
      <c r="A496" s="37" t="str">
        <f aca="false">'Assumptions &amp; Data'!A630</f>
        <v>SM0426</v>
      </c>
      <c r="B496" s="37" t="str">
        <f aca="false">'Assumptions &amp; Data'!B630</f>
        <v>DS036</v>
      </c>
      <c r="C496" s="38" t="n">
        <f aca="false">'Assumptions &amp; Data'!C630</f>
        <v>46082</v>
      </c>
      <c r="D496" s="39" t="str">
        <f aca="false">INDEX('Assumptions &amp; Data'!$B$142:$B$201,MATCH(B496,'Assumptions &amp; Data'!$A$142:$A$201,0))</f>
        <v>Bengaluru</v>
      </c>
      <c r="E496" s="37" t="n">
        <f aca="false">'Assumptions &amp; Data'!D630</f>
        <v>53601</v>
      </c>
      <c r="F496" s="39" t="n">
        <f aca="false">E496*'Assumptions &amp; Data'!E630</f>
        <v>36748845.6</v>
      </c>
      <c r="G496" s="39" t="n">
        <f aca="false">F496*'Assumptions &amp; Data'!F630</f>
        <v>1977087.89328</v>
      </c>
      <c r="H496" s="39" t="n">
        <f aca="false">F496-G496</f>
        <v>34771757.70672</v>
      </c>
      <c r="I496" s="39" t="n">
        <f aca="false">H496*'Assumptions &amp; Data'!G630</f>
        <v>5848609.6462703</v>
      </c>
      <c r="J496" s="39" t="n">
        <f aca="false">E496*'Assumptions &amp; Data'!H630</f>
        <v>698421.03</v>
      </c>
      <c r="K496" s="39" t="n">
        <f aca="false">H496*'Assumptions &amp; Data'!I630</f>
        <v>1116173.42238571</v>
      </c>
      <c r="L496" s="39" t="n">
        <f aca="false">H496*'Assumptions &amp; Data'!J630</f>
        <v>987517.918870848</v>
      </c>
      <c r="M496" s="39" t="n">
        <f aca="false">I496+J496+K496-L496</f>
        <v>6675686.17978517</v>
      </c>
      <c r="N496" s="39" t="n">
        <f aca="false">E496*'Assumptions &amp; Data'!N630</f>
        <v>1962332.61</v>
      </c>
      <c r="O496" s="39" t="n">
        <f aca="false">E496*'Assumptions &amp; Data'!O630</f>
        <v>549946.26</v>
      </c>
      <c r="P496" s="39" t="n">
        <f aca="false">H496*'Assumptions &amp; Data'!P630</f>
        <v>337286.049755184</v>
      </c>
      <c r="Q496" s="39" t="n">
        <f aca="false">M496-N496-O496-P496</f>
        <v>3826121.26002998</v>
      </c>
      <c r="R496" s="39" t="n">
        <f aca="false">'Assumptions &amp; Data'!L630*'Assumptions &amp; Data'!M630</f>
        <v>906100</v>
      </c>
      <c r="S496" s="37" t="n">
        <f aca="false">'Assumptions &amp; Data'!Q630</f>
        <v>570000</v>
      </c>
      <c r="T496" s="37" t="n">
        <f aca="false">'Assumptions &amp; Data'!R630</f>
        <v>183888</v>
      </c>
      <c r="U496" s="37" t="n">
        <f aca="false">'Assumptions &amp; Data'!S630</f>
        <v>230746</v>
      </c>
      <c r="V496" s="39" t="n">
        <f aca="false">Q496-R496-S496-T496-U496</f>
        <v>1935387.26002998</v>
      </c>
      <c r="W496" s="39" t="n">
        <f aca="false">DAY(EOMONTH(C496,0))</f>
        <v>31</v>
      </c>
      <c r="X496" s="40" t="n">
        <f aca="false">E496/W496</f>
        <v>1729.06451612903</v>
      </c>
      <c r="Y496" s="39" t="n">
        <f aca="false">R496+S496+T496+U496</f>
        <v>1890734</v>
      </c>
    </row>
    <row r="497" customFormat="false" ht="15" hidden="false" customHeight="false" outlineLevel="0" collapsed="false">
      <c r="A497" s="37" t="str">
        <f aca="false">'Assumptions &amp; Data'!A631</f>
        <v>SM0427</v>
      </c>
      <c r="B497" s="37" t="str">
        <f aca="false">'Assumptions &amp; Data'!B631</f>
        <v>DS036</v>
      </c>
      <c r="C497" s="38" t="n">
        <f aca="false">'Assumptions &amp; Data'!C631</f>
        <v>46113</v>
      </c>
      <c r="D497" s="39" t="str">
        <f aca="false">INDEX('Assumptions &amp; Data'!$B$142:$B$201,MATCH(B497,'Assumptions &amp; Data'!$A$142:$A$201,0))</f>
        <v>Bengaluru</v>
      </c>
      <c r="E497" s="37" t="n">
        <f aca="false">'Assumptions &amp; Data'!D631</f>
        <v>55419</v>
      </c>
      <c r="F497" s="39" t="n">
        <f aca="false">E497*'Assumptions &amp; Data'!E631</f>
        <v>38421992.7</v>
      </c>
      <c r="G497" s="39" t="n">
        <f aca="false">F497*'Assumptions &amp; Data'!F631</f>
        <v>1982574.82332</v>
      </c>
      <c r="H497" s="39" t="n">
        <f aca="false">F497-G497</f>
        <v>36439417.87668</v>
      </c>
      <c r="I497" s="39" t="n">
        <f aca="false">H497*'Assumptions &amp; Data'!G631</f>
        <v>6154617.67937125</v>
      </c>
      <c r="J497" s="39" t="n">
        <f aca="false">E497*'Assumptions &amp; Data'!H631</f>
        <v>718784.43</v>
      </c>
      <c r="K497" s="39" t="n">
        <f aca="false">H497*'Assumptions &amp; Data'!I631</f>
        <v>1187925.02277977</v>
      </c>
      <c r="L497" s="39" t="n">
        <f aca="false">H497*'Assumptions &amp; Data'!J631</f>
        <v>1045811.29306072</v>
      </c>
      <c r="M497" s="39" t="n">
        <f aca="false">I497+J497+K497-L497</f>
        <v>7015515.8390903</v>
      </c>
      <c r="N497" s="39" t="n">
        <f aca="false">E497*'Assumptions &amp; Data'!N631</f>
        <v>2038310.82</v>
      </c>
      <c r="O497" s="39" t="n">
        <f aca="false">E497*'Assumptions &amp; Data'!O631</f>
        <v>576911.79</v>
      </c>
      <c r="P497" s="39" t="n">
        <f aca="false">H497*'Assumptions &amp; Data'!P631</f>
        <v>353462.353403796</v>
      </c>
      <c r="Q497" s="39" t="n">
        <f aca="false">M497-N497-O497-P497</f>
        <v>4046830.87568651</v>
      </c>
      <c r="R497" s="39" t="n">
        <f aca="false">'Assumptions &amp; Data'!L631*'Assumptions &amp; Data'!M631</f>
        <v>973280</v>
      </c>
      <c r="S497" s="37" t="n">
        <f aca="false">'Assumptions &amp; Data'!Q631</f>
        <v>570000</v>
      </c>
      <c r="T497" s="37" t="n">
        <f aca="false">'Assumptions &amp; Data'!R631</f>
        <v>194418</v>
      </c>
      <c r="U497" s="37" t="n">
        <f aca="false">'Assumptions &amp; Data'!S631</f>
        <v>262200</v>
      </c>
      <c r="V497" s="39" t="n">
        <f aca="false">Q497-R497-S497-T497-U497</f>
        <v>2046932.87568651</v>
      </c>
      <c r="W497" s="39" t="n">
        <f aca="false">DAY(EOMONTH(C497,0))</f>
        <v>30</v>
      </c>
      <c r="X497" s="40" t="n">
        <f aca="false">E497/W497</f>
        <v>1847.3</v>
      </c>
      <c r="Y497" s="39" t="n">
        <f aca="false">R497+S497+T497+U497</f>
        <v>1999898</v>
      </c>
    </row>
    <row r="498" customFormat="false" ht="15" hidden="false" customHeight="false" outlineLevel="0" collapsed="false">
      <c r="A498" s="37" t="str">
        <f aca="false">'Assumptions &amp; Data'!A632</f>
        <v>SM0428</v>
      </c>
      <c r="B498" s="37" t="str">
        <f aca="false">'Assumptions &amp; Data'!B632</f>
        <v>DS036</v>
      </c>
      <c r="C498" s="38" t="n">
        <f aca="false">'Assumptions &amp; Data'!C632</f>
        <v>46143</v>
      </c>
      <c r="D498" s="39" t="str">
        <f aca="false">INDEX('Assumptions &amp; Data'!$B$142:$B$201,MATCH(B498,'Assumptions &amp; Data'!$A$142:$A$201,0))</f>
        <v>Bengaluru</v>
      </c>
      <c r="E498" s="37" t="n">
        <f aca="false">'Assumptions &amp; Data'!D632</f>
        <v>60319</v>
      </c>
      <c r="F498" s="39" t="n">
        <f aca="false">E498*'Assumptions &amp; Data'!E632</f>
        <v>42512831.2</v>
      </c>
      <c r="G498" s="39" t="n">
        <f aca="false">F498*'Assumptions &amp; Data'!F632</f>
        <v>2257431.33672</v>
      </c>
      <c r="H498" s="39" t="n">
        <f aca="false">F498-G498</f>
        <v>40255399.86328</v>
      </c>
      <c r="I498" s="39" t="n">
        <f aca="false">H498*'Assumptions &amp; Data'!G632</f>
        <v>6585783.41763261</v>
      </c>
      <c r="J498" s="39" t="n">
        <f aca="false">E498*'Assumptions &amp; Data'!H632</f>
        <v>755797.07</v>
      </c>
      <c r="K498" s="39" t="n">
        <f aca="false">H498*'Assumptions &amp; Data'!I632</f>
        <v>1356606.97539254</v>
      </c>
      <c r="L498" s="39" t="n">
        <f aca="false">H498*'Assumptions &amp; Data'!J632</f>
        <v>1094946.87628122</v>
      </c>
      <c r="M498" s="39" t="n">
        <f aca="false">I498+J498+K498-L498</f>
        <v>7603240.58674393</v>
      </c>
      <c r="N498" s="39" t="n">
        <f aca="false">E498*'Assumptions &amp; Data'!N632</f>
        <v>2216723.25</v>
      </c>
      <c r="O498" s="39" t="n">
        <f aca="false">E498*'Assumptions &amp; Data'!O632</f>
        <v>635159.07</v>
      </c>
      <c r="P498" s="39" t="n">
        <f aca="false">H498*'Assumptions &amp; Data'!P632</f>
        <v>406579.538619128</v>
      </c>
      <c r="Q498" s="39" t="n">
        <f aca="false">M498-N498-O498-P498</f>
        <v>4344778.7281248</v>
      </c>
      <c r="R498" s="39" t="n">
        <f aca="false">'Assumptions &amp; Data'!L632*'Assumptions &amp; Data'!M632</f>
        <v>1040580</v>
      </c>
      <c r="S498" s="37" t="n">
        <f aca="false">'Assumptions &amp; Data'!Q632</f>
        <v>570000</v>
      </c>
      <c r="T498" s="37" t="n">
        <f aca="false">'Assumptions &amp; Data'!R632</f>
        <v>201978</v>
      </c>
      <c r="U498" s="37" t="n">
        <f aca="false">'Assumptions &amp; Data'!S632</f>
        <v>292940</v>
      </c>
      <c r="V498" s="39" t="n">
        <f aca="false">Q498-R498-S498-T498-U498</f>
        <v>2239280.7281248</v>
      </c>
      <c r="W498" s="39" t="n">
        <f aca="false">DAY(EOMONTH(C498,0))</f>
        <v>31</v>
      </c>
      <c r="X498" s="40" t="n">
        <f aca="false">E498/W498</f>
        <v>1945.77419354839</v>
      </c>
      <c r="Y498" s="39" t="n">
        <f aca="false">R498+S498+T498+U498</f>
        <v>2105498</v>
      </c>
    </row>
    <row r="499" customFormat="false" ht="15" hidden="false" customHeight="false" outlineLevel="0" collapsed="false">
      <c r="A499" s="37" t="str">
        <f aca="false">'Assumptions &amp; Data'!A633</f>
        <v>SM0429</v>
      </c>
      <c r="B499" s="37" t="str">
        <f aca="false">'Assumptions &amp; Data'!B633</f>
        <v>DS036</v>
      </c>
      <c r="C499" s="38" t="n">
        <f aca="false">'Assumptions &amp; Data'!C633</f>
        <v>46174</v>
      </c>
      <c r="D499" s="39" t="str">
        <f aca="false">INDEX('Assumptions &amp; Data'!$B$142:$B$201,MATCH(B499,'Assumptions &amp; Data'!$A$142:$A$201,0))</f>
        <v>Bengaluru</v>
      </c>
      <c r="E499" s="37" t="n">
        <f aca="false">'Assumptions &amp; Data'!D633</f>
        <v>55398</v>
      </c>
      <c r="F499" s="39" t="n">
        <f aca="false">E499*'Assumptions &amp; Data'!E633</f>
        <v>38462831.4</v>
      </c>
      <c r="G499" s="39" t="n">
        <f aca="false">F499*'Assumptions &amp; Data'!F633</f>
        <v>1888525.02174</v>
      </c>
      <c r="H499" s="39" t="n">
        <f aca="false">F499-G499</f>
        <v>36574306.37826</v>
      </c>
      <c r="I499" s="39" t="n">
        <f aca="false">H499*'Assumptions &amp; Data'!G633</f>
        <v>6137168.61027203</v>
      </c>
      <c r="J499" s="39" t="n">
        <f aca="false">E499*'Assumptions &amp; Data'!H633</f>
        <v>689705.1</v>
      </c>
      <c r="K499" s="39" t="n">
        <f aca="false">H499*'Assumptions &amp; Data'!I633</f>
        <v>1174035.23474215</v>
      </c>
      <c r="L499" s="39" t="n">
        <f aca="false">H499*'Assumptions &amp; Data'!J633</f>
        <v>1053340.02369389</v>
      </c>
      <c r="M499" s="39" t="n">
        <f aca="false">I499+J499+K499-L499</f>
        <v>6947568.92132029</v>
      </c>
      <c r="N499" s="39" t="n">
        <f aca="false">E499*'Assumptions &amp; Data'!N633</f>
        <v>2093490.42</v>
      </c>
      <c r="O499" s="39" t="n">
        <f aca="false">E499*'Assumptions &amp; Data'!O633</f>
        <v>588326.76</v>
      </c>
      <c r="P499" s="39" t="n">
        <f aca="false">H499*'Assumptions &amp; Data'!P633</f>
        <v>369400.494420426</v>
      </c>
      <c r="Q499" s="39" t="n">
        <f aca="false">M499-N499-O499-P499</f>
        <v>3896351.24689986</v>
      </c>
      <c r="R499" s="39" t="n">
        <f aca="false">'Assumptions &amp; Data'!L633*'Assumptions &amp; Data'!M633</f>
        <v>1019360</v>
      </c>
      <c r="S499" s="37" t="n">
        <f aca="false">'Assumptions &amp; Data'!Q633</f>
        <v>570000</v>
      </c>
      <c r="T499" s="37" t="n">
        <f aca="false">'Assumptions &amp; Data'!R633</f>
        <v>179869</v>
      </c>
      <c r="U499" s="37" t="n">
        <f aca="false">'Assumptions &amp; Data'!S633</f>
        <v>265978</v>
      </c>
      <c r="V499" s="39" t="n">
        <f aca="false">Q499-R499-S499-T499-U499</f>
        <v>1861144.24689986</v>
      </c>
      <c r="W499" s="39" t="n">
        <f aca="false">DAY(EOMONTH(C499,0))</f>
        <v>30</v>
      </c>
      <c r="X499" s="40" t="n">
        <f aca="false">E499/W499</f>
        <v>1846.6</v>
      </c>
      <c r="Y499" s="39" t="n">
        <f aca="false">R499+S499+T499+U499</f>
        <v>2035207</v>
      </c>
    </row>
    <row r="500" customFormat="false" ht="15" hidden="false" customHeight="false" outlineLevel="0" collapsed="false">
      <c r="A500" s="37" t="str">
        <f aca="false">'Assumptions &amp; Data'!A634</f>
        <v>SM0430</v>
      </c>
      <c r="B500" s="37" t="str">
        <f aca="false">'Assumptions &amp; Data'!B634</f>
        <v>DS036</v>
      </c>
      <c r="C500" s="38" t="n">
        <f aca="false">'Assumptions &amp; Data'!C634</f>
        <v>46204</v>
      </c>
      <c r="D500" s="39" t="str">
        <f aca="false">INDEX('Assumptions &amp; Data'!$B$142:$B$201,MATCH(B500,'Assumptions &amp; Data'!$A$142:$A$201,0))</f>
        <v>Bengaluru</v>
      </c>
      <c r="E500" s="37" t="n">
        <f aca="false">'Assumptions &amp; Data'!D634</f>
        <v>51387</v>
      </c>
      <c r="F500" s="39" t="n">
        <f aca="false">E500*'Assumptions &amp; Data'!E634</f>
        <v>35415920.4</v>
      </c>
      <c r="G500" s="39" t="n">
        <f aca="false">F500*'Assumptions &amp; Data'!F634</f>
        <v>1746004.87572</v>
      </c>
      <c r="H500" s="39" t="n">
        <f aca="false">F500-G500</f>
        <v>33669915.52428</v>
      </c>
      <c r="I500" s="39" t="n">
        <f aca="false">H500*'Assumptions &amp; Data'!G634</f>
        <v>5767656.52930917</v>
      </c>
      <c r="J500" s="39" t="n">
        <f aca="false">E500*'Assumptions &amp; Data'!H634</f>
        <v>666489.39</v>
      </c>
      <c r="K500" s="39" t="n">
        <f aca="false">H500*'Assumptions &amp; Data'!I634</f>
        <v>1134676.15316824</v>
      </c>
      <c r="L500" s="39" t="n">
        <f aca="false">H500*'Assumptions &amp; Data'!J634</f>
        <v>966326.575546836</v>
      </c>
      <c r="M500" s="39" t="n">
        <f aca="false">I500+J500+K500-L500</f>
        <v>6602495.49693056</v>
      </c>
      <c r="N500" s="39" t="n">
        <f aca="false">E500*'Assumptions &amp; Data'!N634</f>
        <v>1885389.03</v>
      </c>
      <c r="O500" s="39" t="n">
        <f aca="false">E500*'Assumptions &amp; Data'!O634</f>
        <v>543674.46</v>
      </c>
      <c r="P500" s="39" t="n">
        <f aca="false">H500*'Assumptions &amp; Data'!P634</f>
        <v>336699.1552428</v>
      </c>
      <c r="Q500" s="39" t="n">
        <f aca="false">M500-N500-O500-P500</f>
        <v>3836732.85168776</v>
      </c>
      <c r="R500" s="39" t="n">
        <f aca="false">'Assumptions &amp; Data'!L634*'Assumptions &amp; Data'!M634</f>
        <v>909380</v>
      </c>
      <c r="S500" s="37" t="n">
        <f aca="false">'Assumptions &amp; Data'!Q634</f>
        <v>570000</v>
      </c>
      <c r="T500" s="37" t="n">
        <f aca="false">'Assumptions &amp; Data'!R634</f>
        <v>189300</v>
      </c>
      <c r="U500" s="37" t="n">
        <f aca="false">'Assumptions &amp; Data'!S634</f>
        <v>216827</v>
      </c>
      <c r="V500" s="39" t="n">
        <f aca="false">Q500-R500-S500-T500-U500</f>
        <v>1951225.85168776</v>
      </c>
      <c r="W500" s="39" t="n">
        <f aca="false">DAY(EOMONTH(C500,0))</f>
        <v>31</v>
      </c>
      <c r="X500" s="40" t="n">
        <f aca="false">E500/W500</f>
        <v>1657.64516129032</v>
      </c>
      <c r="Y500" s="39" t="n">
        <f aca="false">R500+S500+T500+U500</f>
        <v>1885507</v>
      </c>
    </row>
    <row r="501" customFormat="false" ht="15" hidden="false" customHeight="false" outlineLevel="0" collapsed="false">
      <c r="A501" s="37" t="str">
        <f aca="false">'Assumptions &amp; Data'!A635</f>
        <v>SM0431</v>
      </c>
      <c r="B501" s="37" t="str">
        <f aca="false">'Assumptions &amp; Data'!B635</f>
        <v>DS036</v>
      </c>
      <c r="C501" s="38" t="n">
        <f aca="false">'Assumptions &amp; Data'!C635</f>
        <v>46235</v>
      </c>
      <c r="D501" s="39" t="str">
        <f aca="false">INDEX('Assumptions &amp; Data'!$B$142:$B$201,MATCH(B501,'Assumptions &amp; Data'!$A$142:$A$201,0))</f>
        <v>Bengaluru</v>
      </c>
      <c r="E501" s="37" t="n">
        <f aca="false">'Assumptions &amp; Data'!D635</f>
        <v>56393</v>
      </c>
      <c r="F501" s="39" t="n">
        <f aca="false">E501*'Assumptions &amp; Data'!E635</f>
        <v>38606647.8</v>
      </c>
      <c r="G501" s="39" t="n">
        <f aca="false">F501*'Assumptions &amp; Data'!F635</f>
        <v>1868561.75352</v>
      </c>
      <c r="H501" s="39" t="n">
        <f aca="false">F501-G501</f>
        <v>36738086.04648</v>
      </c>
      <c r="I501" s="39" t="n">
        <f aca="false">H501*'Assumptions &amp; Data'!G635</f>
        <v>6135260.36976216</v>
      </c>
      <c r="J501" s="39" t="n">
        <f aca="false">E501*'Assumptions &amp; Data'!H635</f>
        <v>702656.78</v>
      </c>
      <c r="K501" s="39" t="n">
        <f aca="false">H501*'Assumptions &amp; Data'!I635</f>
        <v>1193987.7965106</v>
      </c>
      <c r="L501" s="39" t="n">
        <f aca="false">H501*'Assumptions &amp; Data'!J635</f>
        <v>1065404.49534792</v>
      </c>
      <c r="M501" s="39" t="n">
        <f aca="false">I501+J501+K501-L501</f>
        <v>6966500.45092484</v>
      </c>
      <c r="N501" s="39" t="n">
        <f aca="false">E501*'Assumptions &amp; Data'!N635</f>
        <v>2066803.45</v>
      </c>
      <c r="O501" s="39" t="n">
        <f aca="false">E501*'Assumptions &amp; Data'!O635</f>
        <v>578028.25</v>
      </c>
      <c r="P501" s="39" t="n">
        <f aca="false">H501*'Assumptions &amp; Data'!P635</f>
        <v>349011.81744156</v>
      </c>
      <c r="Q501" s="39" t="n">
        <f aca="false">M501-N501-O501-P501</f>
        <v>3972656.93348328</v>
      </c>
      <c r="R501" s="39" t="n">
        <f aca="false">'Assumptions &amp; Data'!L635*'Assumptions &amp; Data'!M635</f>
        <v>999000</v>
      </c>
      <c r="S501" s="37" t="n">
        <f aca="false">'Assumptions &amp; Data'!Q635</f>
        <v>570000</v>
      </c>
      <c r="T501" s="37" t="n">
        <f aca="false">'Assumptions &amp; Data'!R635</f>
        <v>180844</v>
      </c>
      <c r="U501" s="37" t="n">
        <f aca="false">'Assumptions &amp; Data'!S635</f>
        <v>252213</v>
      </c>
      <c r="V501" s="39" t="n">
        <f aca="false">Q501-R501-S501-T501-U501</f>
        <v>1970599.93348328</v>
      </c>
      <c r="W501" s="39" t="n">
        <f aca="false">DAY(EOMONTH(C501,0))</f>
        <v>31</v>
      </c>
      <c r="X501" s="40" t="n">
        <f aca="false">E501/W501</f>
        <v>1819.12903225806</v>
      </c>
      <c r="Y501" s="39" t="n">
        <f aca="false">R501+S501+T501+U501</f>
        <v>2002057</v>
      </c>
    </row>
    <row r="502" customFormat="false" ht="15" hidden="false" customHeight="false" outlineLevel="0" collapsed="false">
      <c r="A502" s="37" t="str">
        <f aca="false">'Assumptions &amp; Data'!A636</f>
        <v>SM0432</v>
      </c>
      <c r="B502" s="37" t="str">
        <f aca="false">'Assumptions &amp; Data'!B636</f>
        <v>DS036</v>
      </c>
      <c r="C502" s="38" t="n">
        <f aca="false">'Assumptions &amp; Data'!C636</f>
        <v>46266</v>
      </c>
      <c r="D502" s="39" t="str">
        <f aca="false">INDEX('Assumptions &amp; Data'!$B$142:$B$201,MATCH(B502,'Assumptions &amp; Data'!$A$142:$A$201,0))</f>
        <v>Bengaluru</v>
      </c>
      <c r="E502" s="37" t="n">
        <f aca="false">'Assumptions &amp; Data'!D636</f>
        <v>50275</v>
      </c>
      <c r="F502" s="39" t="n">
        <f aca="false">E502*'Assumptions &amp; Data'!E636</f>
        <v>34810410</v>
      </c>
      <c r="G502" s="39" t="n">
        <f aca="false">F502*'Assumptions &amp; Data'!F636</f>
        <v>1824065.484</v>
      </c>
      <c r="H502" s="39" t="n">
        <f aca="false">F502-G502</f>
        <v>32986344.516</v>
      </c>
      <c r="I502" s="39" t="n">
        <f aca="false">H502*'Assumptions &amp; Data'!G636</f>
        <v>5505420.8997204</v>
      </c>
      <c r="J502" s="39" t="n">
        <f aca="false">E502*'Assumptions &amp; Data'!H636</f>
        <v>678712.5</v>
      </c>
      <c r="K502" s="39" t="n">
        <f aca="false">H502*'Assumptions &amp; Data'!I636</f>
        <v>1114938.4446408</v>
      </c>
      <c r="L502" s="39" t="n">
        <f aca="false">H502*'Assumptions &amp; Data'!J636</f>
        <v>946708.0876092</v>
      </c>
      <c r="M502" s="39" t="n">
        <f aca="false">I502+J502+K502-L502</f>
        <v>6352363.756752</v>
      </c>
      <c r="N502" s="39" t="n">
        <f aca="false">E502*'Assumptions &amp; Data'!N636</f>
        <v>1864699.75</v>
      </c>
      <c r="O502" s="39" t="n">
        <f aca="false">E502*'Assumptions &amp; Data'!O636</f>
        <v>534423.25</v>
      </c>
      <c r="P502" s="39" t="n">
        <f aca="false">H502*'Assumptions &amp; Data'!P636</f>
        <v>319967.5418052</v>
      </c>
      <c r="Q502" s="39" t="n">
        <f aca="false">M502-N502-O502-P502</f>
        <v>3633273.2149468</v>
      </c>
      <c r="R502" s="39" t="n">
        <f aca="false">'Assumptions &amp; Data'!L636*'Assumptions &amp; Data'!M636</f>
        <v>911020</v>
      </c>
      <c r="S502" s="37" t="n">
        <f aca="false">'Assumptions &amp; Data'!Q636</f>
        <v>570000</v>
      </c>
      <c r="T502" s="37" t="n">
        <f aca="false">'Assumptions &amp; Data'!R636</f>
        <v>189345</v>
      </c>
      <c r="U502" s="37" t="n">
        <f aca="false">'Assumptions &amp; Data'!S636</f>
        <v>213227</v>
      </c>
      <c r="V502" s="39" t="n">
        <f aca="false">Q502-R502-S502-T502-U502</f>
        <v>1749681.2149468</v>
      </c>
      <c r="W502" s="39" t="n">
        <f aca="false">DAY(EOMONTH(C502,0))</f>
        <v>30</v>
      </c>
      <c r="X502" s="40" t="n">
        <f aca="false">E502/W502</f>
        <v>1675.83333333333</v>
      </c>
      <c r="Y502" s="39" t="n">
        <f aca="false">R502+S502+T502+U502</f>
        <v>1883592</v>
      </c>
    </row>
    <row r="503" customFormat="false" ht="15" hidden="false" customHeight="false" outlineLevel="0" collapsed="false">
      <c r="A503" s="37" t="str">
        <f aca="false">'Assumptions &amp; Data'!A637</f>
        <v>SM0433</v>
      </c>
      <c r="B503" s="37" t="str">
        <f aca="false">'Assumptions &amp; Data'!B637</f>
        <v>DS037</v>
      </c>
      <c r="C503" s="38" t="n">
        <f aca="false">'Assumptions &amp; Data'!C637</f>
        <v>45931</v>
      </c>
      <c r="D503" s="39" t="str">
        <f aca="false">INDEX('Assumptions &amp; Data'!$B$142:$B$201,MATCH(B503,'Assumptions &amp; Data'!$A$142:$A$201,0))</f>
        <v>Bengaluru</v>
      </c>
      <c r="E503" s="37" t="n">
        <f aca="false">'Assumptions &amp; Data'!D637</f>
        <v>33137</v>
      </c>
      <c r="F503" s="39" t="n">
        <f aca="false">E503*'Assumptions &amp; Data'!E637</f>
        <v>23891777</v>
      </c>
      <c r="G503" s="39" t="n">
        <f aca="false">F503*'Assumptions &amp; Data'!F637</f>
        <v>1662867.6792</v>
      </c>
      <c r="H503" s="39" t="n">
        <f aca="false">F503-G503</f>
        <v>22228909.3208</v>
      </c>
      <c r="I503" s="39" t="n">
        <f aca="false">H503*'Assumptions &amp; Data'!G637</f>
        <v>3794474.82106056</v>
      </c>
      <c r="J503" s="39" t="n">
        <f aca="false">E503*'Assumptions &amp; Data'!H637</f>
        <v>386377.42</v>
      </c>
      <c r="K503" s="39" t="n">
        <f aca="false">H503*'Assumptions &amp; Data'!I637</f>
        <v>666867.279624</v>
      </c>
      <c r="L503" s="39" t="n">
        <f aca="false">H503*'Assumptions &amp; Data'!J637</f>
        <v>366777.0037932</v>
      </c>
      <c r="M503" s="39" t="n">
        <f aca="false">I503+J503+K503-L503</f>
        <v>4480942.51689136</v>
      </c>
      <c r="N503" s="39" t="n">
        <f aca="false">E503*'Assumptions &amp; Data'!N637</f>
        <v>1260200.11</v>
      </c>
      <c r="O503" s="39" t="n">
        <f aca="false">E503*'Assumptions &amp; Data'!O637</f>
        <v>356222.75</v>
      </c>
      <c r="P503" s="39" t="n">
        <f aca="false">H503*'Assumptions &amp; Data'!P637</f>
        <v>222289.093208</v>
      </c>
      <c r="Q503" s="39" t="n">
        <f aca="false">M503-N503-O503-P503</f>
        <v>2642230.56368336</v>
      </c>
      <c r="R503" s="39" t="n">
        <f aca="false">'Assumptions &amp; Data'!L637*'Assumptions &amp; Data'!M637</f>
        <v>506000</v>
      </c>
      <c r="S503" s="37" t="n">
        <f aca="false">'Assumptions &amp; Data'!Q637</f>
        <v>423000</v>
      </c>
      <c r="T503" s="37" t="n">
        <f aca="false">'Assumptions &amp; Data'!R637</f>
        <v>138356</v>
      </c>
      <c r="U503" s="37" t="n">
        <f aca="false">'Assumptions &amp; Data'!S637</f>
        <v>179695</v>
      </c>
      <c r="V503" s="39" t="n">
        <f aca="false">Q503-R503-S503-T503-U503</f>
        <v>1395179.56368336</v>
      </c>
      <c r="W503" s="39" t="n">
        <f aca="false">DAY(EOMONTH(C503,0))</f>
        <v>31</v>
      </c>
      <c r="X503" s="40" t="n">
        <f aca="false">E503/W503</f>
        <v>1068.93548387097</v>
      </c>
      <c r="Y503" s="39" t="n">
        <f aca="false">R503+S503+T503+U503</f>
        <v>1247051</v>
      </c>
    </row>
    <row r="504" customFormat="false" ht="15" hidden="false" customHeight="false" outlineLevel="0" collapsed="false">
      <c r="A504" s="37" t="str">
        <f aca="false">'Assumptions &amp; Data'!A638</f>
        <v>SM0434</v>
      </c>
      <c r="B504" s="37" t="str">
        <f aca="false">'Assumptions &amp; Data'!B638</f>
        <v>DS037</v>
      </c>
      <c r="C504" s="38" t="n">
        <f aca="false">'Assumptions &amp; Data'!C638</f>
        <v>45962</v>
      </c>
      <c r="D504" s="39" t="str">
        <f aca="false">INDEX('Assumptions &amp; Data'!$B$142:$B$201,MATCH(B504,'Assumptions &amp; Data'!$A$142:$A$201,0))</f>
        <v>Bengaluru</v>
      </c>
      <c r="E504" s="37" t="n">
        <f aca="false">'Assumptions &amp; Data'!D638</f>
        <v>33066</v>
      </c>
      <c r="F504" s="39" t="n">
        <f aca="false">E504*'Assumptions &amp; Data'!E638</f>
        <v>24250604.4</v>
      </c>
      <c r="G504" s="39" t="n">
        <f aca="false">F504*'Assumptions &amp; Data'!F638</f>
        <v>1692692.18712</v>
      </c>
      <c r="H504" s="39" t="n">
        <f aca="false">F504-G504</f>
        <v>22557912.21288</v>
      </c>
      <c r="I504" s="39" t="n">
        <f aca="false">H504*'Assumptions &amp; Data'!G638</f>
        <v>3895751.43916438</v>
      </c>
      <c r="J504" s="39" t="n">
        <f aca="false">E504*'Assumptions &amp; Data'!H638</f>
        <v>371331.18</v>
      </c>
      <c r="K504" s="39" t="n">
        <f aca="false">H504*'Assumptions &amp; Data'!I638</f>
        <v>638388.915624504</v>
      </c>
      <c r="L504" s="39" t="n">
        <f aca="false">H504*'Assumptions &amp; Data'!J638</f>
        <v>378972.925176384</v>
      </c>
      <c r="M504" s="39" t="n">
        <f aca="false">I504+J504+K504-L504</f>
        <v>4526498.6096125</v>
      </c>
      <c r="N504" s="39" t="n">
        <f aca="false">E504*'Assumptions &amp; Data'!N638</f>
        <v>1210215.6</v>
      </c>
      <c r="O504" s="39" t="n">
        <f aca="false">E504*'Assumptions &amp; Data'!O638</f>
        <v>359096.76</v>
      </c>
      <c r="P504" s="39" t="n">
        <f aca="false">H504*'Assumptions &amp; Data'!P638</f>
        <v>218811.748464936</v>
      </c>
      <c r="Q504" s="39" t="n">
        <f aca="false">M504-N504-O504-P504</f>
        <v>2738374.50114756</v>
      </c>
      <c r="R504" s="39" t="n">
        <f aca="false">'Assumptions &amp; Data'!L638*'Assumptions &amp; Data'!M638</f>
        <v>528480</v>
      </c>
      <c r="S504" s="37" t="n">
        <f aca="false">'Assumptions &amp; Data'!Q638</f>
        <v>423000</v>
      </c>
      <c r="T504" s="37" t="n">
        <f aca="false">'Assumptions &amp; Data'!R638</f>
        <v>147982</v>
      </c>
      <c r="U504" s="37" t="n">
        <f aca="false">'Assumptions &amp; Data'!S638</f>
        <v>155151</v>
      </c>
      <c r="V504" s="39" t="n">
        <f aca="false">Q504-R504-S504-T504-U504</f>
        <v>1483761.50114756</v>
      </c>
      <c r="W504" s="39" t="n">
        <f aca="false">DAY(EOMONTH(C504,0))</f>
        <v>30</v>
      </c>
      <c r="X504" s="40" t="n">
        <f aca="false">E504/W504</f>
        <v>1102.2</v>
      </c>
      <c r="Y504" s="39" t="n">
        <f aca="false">R504+S504+T504+U504</f>
        <v>1254613</v>
      </c>
    </row>
    <row r="505" customFormat="false" ht="15" hidden="false" customHeight="false" outlineLevel="0" collapsed="false">
      <c r="A505" s="37" t="str">
        <f aca="false">'Assumptions &amp; Data'!A639</f>
        <v>SM0435</v>
      </c>
      <c r="B505" s="37" t="str">
        <f aca="false">'Assumptions &amp; Data'!B639</f>
        <v>DS037</v>
      </c>
      <c r="C505" s="38" t="n">
        <f aca="false">'Assumptions &amp; Data'!C639</f>
        <v>45992</v>
      </c>
      <c r="D505" s="39" t="str">
        <f aca="false">INDEX('Assumptions &amp; Data'!$B$142:$B$201,MATCH(B505,'Assumptions &amp; Data'!$A$142:$A$201,0))</f>
        <v>Bengaluru</v>
      </c>
      <c r="E505" s="37" t="n">
        <f aca="false">'Assumptions &amp; Data'!D639</f>
        <v>35156</v>
      </c>
      <c r="F505" s="39" t="n">
        <f aca="false">E505*'Assumptions &amp; Data'!E639</f>
        <v>25804504</v>
      </c>
      <c r="G505" s="39" t="n">
        <f aca="false">F505*'Assumptions &amp; Data'!F639</f>
        <v>1765028.0736</v>
      </c>
      <c r="H505" s="39" t="n">
        <f aca="false">F505-G505</f>
        <v>24039475.9264</v>
      </c>
      <c r="I505" s="39" t="n">
        <f aca="false">H505*'Assumptions &amp; Data'!G639</f>
        <v>4113154.33100704</v>
      </c>
      <c r="J505" s="39" t="n">
        <f aca="false">E505*'Assumptions &amp; Data'!H639</f>
        <v>417301.72</v>
      </c>
      <c r="K505" s="39" t="n">
        <f aca="false">H505*'Assumptions &amp; Data'!I639</f>
        <v>701952.69705088</v>
      </c>
      <c r="L505" s="39" t="n">
        <f aca="false">H505*'Assumptions &amp; Data'!J639</f>
        <v>389439.51000768</v>
      </c>
      <c r="M505" s="39" t="n">
        <f aca="false">I505+J505+K505-L505</f>
        <v>4842969.23805024</v>
      </c>
      <c r="N505" s="39" t="n">
        <f aca="false">E505*'Assumptions &amp; Data'!N639</f>
        <v>1342959.2</v>
      </c>
      <c r="O505" s="39" t="n">
        <f aca="false">E505*'Assumptions &amp; Data'!O639</f>
        <v>389880.04</v>
      </c>
      <c r="P505" s="39" t="n">
        <f aca="false">H505*'Assumptions &amp; Data'!P639</f>
        <v>235586.86407872</v>
      </c>
      <c r="Q505" s="39" t="n">
        <f aca="false">M505-N505-O505-P505</f>
        <v>2874543.13397152</v>
      </c>
      <c r="R505" s="39" t="n">
        <f aca="false">'Assumptions &amp; Data'!L639*'Assumptions &amp; Data'!M639</f>
        <v>528960</v>
      </c>
      <c r="S505" s="37" t="n">
        <f aca="false">'Assumptions &amp; Data'!Q639</f>
        <v>423000</v>
      </c>
      <c r="T505" s="37" t="n">
        <f aca="false">'Assumptions &amp; Data'!R639</f>
        <v>131906</v>
      </c>
      <c r="U505" s="37" t="n">
        <f aca="false">'Assumptions &amp; Data'!S639</f>
        <v>161977</v>
      </c>
      <c r="V505" s="39" t="n">
        <f aca="false">Q505-R505-S505-T505-U505</f>
        <v>1628700.13397152</v>
      </c>
      <c r="W505" s="39" t="n">
        <f aca="false">DAY(EOMONTH(C505,0))</f>
        <v>31</v>
      </c>
      <c r="X505" s="40" t="n">
        <f aca="false">E505/W505</f>
        <v>1134.06451612903</v>
      </c>
      <c r="Y505" s="39" t="n">
        <f aca="false">R505+S505+T505+U505</f>
        <v>1245843</v>
      </c>
    </row>
    <row r="506" customFormat="false" ht="15" hidden="false" customHeight="false" outlineLevel="0" collapsed="false">
      <c r="A506" s="37" t="str">
        <f aca="false">'Assumptions &amp; Data'!A640</f>
        <v>SM0436</v>
      </c>
      <c r="B506" s="37" t="str">
        <f aca="false">'Assumptions &amp; Data'!B640</f>
        <v>DS037</v>
      </c>
      <c r="C506" s="38" t="n">
        <f aca="false">'Assumptions &amp; Data'!C640</f>
        <v>46023</v>
      </c>
      <c r="D506" s="39" t="str">
        <f aca="false">INDEX('Assumptions &amp; Data'!$B$142:$B$201,MATCH(B506,'Assumptions &amp; Data'!$A$142:$A$201,0))</f>
        <v>Bengaluru</v>
      </c>
      <c r="E506" s="37" t="n">
        <f aca="false">'Assumptions &amp; Data'!D640</f>
        <v>32043</v>
      </c>
      <c r="F506" s="39" t="n">
        <f aca="false">E506*'Assumptions &amp; Data'!E640</f>
        <v>23282443.8</v>
      </c>
      <c r="G506" s="39" t="n">
        <f aca="false">F506*'Assumptions &amp; Data'!F640</f>
        <v>1569236.71212</v>
      </c>
      <c r="H506" s="39" t="n">
        <f aca="false">F506-G506</f>
        <v>21713207.08788</v>
      </c>
      <c r="I506" s="39" t="n">
        <f aca="false">H506*'Assumptions &amp; Data'!G640</f>
        <v>3706444.44990112</v>
      </c>
      <c r="J506" s="39" t="n">
        <f aca="false">E506*'Assumptions &amp; Data'!H640</f>
        <v>378748.26</v>
      </c>
      <c r="K506" s="39" t="n">
        <f aca="false">H506*'Assumptions &amp; Data'!I640</f>
        <v>605798.477751852</v>
      </c>
      <c r="L506" s="39" t="n">
        <f aca="false">H506*'Assumptions &amp; Data'!J640</f>
        <v>351753.954823656</v>
      </c>
      <c r="M506" s="39" t="n">
        <f aca="false">I506+J506+K506-L506</f>
        <v>4339237.23282931</v>
      </c>
      <c r="N506" s="39" t="n">
        <f aca="false">E506*'Assumptions &amp; Data'!N640</f>
        <v>1185591</v>
      </c>
      <c r="O506" s="39" t="n">
        <f aca="false">E506*'Assumptions &amp; Data'!O640</f>
        <v>334849.35</v>
      </c>
      <c r="P506" s="39" t="n">
        <f aca="false">H506*'Assumptions &amp; Data'!P640</f>
        <v>212789.429461224</v>
      </c>
      <c r="Q506" s="39" t="n">
        <f aca="false">M506-N506-O506-P506</f>
        <v>2606007.45336809</v>
      </c>
      <c r="R506" s="39" t="n">
        <f aca="false">'Assumptions &amp; Data'!L640*'Assumptions &amp; Data'!M640</f>
        <v>463260</v>
      </c>
      <c r="S506" s="37" t="n">
        <f aca="false">'Assumptions &amp; Data'!Q640</f>
        <v>423000</v>
      </c>
      <c r="T506" s="37" t="n">
        <f aca="false">'Assumptions &amp; Data'!R640</f>
        <v>143892</v>
      </c>
      <c r="U506" s="37" t="n">
        <f aca="false">'Assumptions &amp; Data'!S640</f>
        <v>149900</v>
      </c>
      <c r="V506" s="39" t="n">
        <f aca="false">Q506-R506-S506-T506-U506</f>
        <v>1425955.45336809</v>
      </c>
      <c r="W506" s="39" t="n">
        <f aca="false">DAY(EOMONTH(C506,0))</f>
        <v>31</v>
      </c>
      <c r="X506" s="40" t="n">
        <f aca="false">E506/W506</f>
        <v>1033.64516129032</v>
      </c>
      <c r="Y506" s="39" t="n">
        <f aca="false">R506+S506+T506+U506</f>
        <v>1180052</v>
      </c>
    </row>
    <row r="507" customFormat="false" ht="15" hidden="false" customHeight="false" outlineLevel="0" collapsed="false">
      <c r="A507" s="37" t="str">
        <f aca="false">'Assumptions &amp; Data'!A641</f>
        <v>SM0437</v>
      </c>
      <c r="B507" s="37" t="str">
        <f aca="false">'Assumptions &amp; Data'!B641</f>
        <v>DS037</v>
      </c>
      <c r="C507" s="38" t="n">
        <f aca="false">'Assumptions &amp; Data'!C641</f>
        <v>46054</v>
      </c>
      <c r="D507" s="39" t="str">
        <f aca="false">INDEX('Assumptions &amp; Data'!$B$142:$B$201,MATCH(B507,'Assumptions &amp; Data'!$A$142:$A$201,0))</f>
        <v>Bengaluru</v>
      </c>
      <c r="E507" s="37" t="n">
        <f aca="false">'Assumptions &amp; Data'!D641</f>
        <v>30442</v>
      </c>
      <c r="F507" s="39" t="n">
        <f aca="false">E507*'Assumptions &amp; Data'!E641</f>
        <v>21470742.6</v>
      </c>
      <c r="G507" s="39" t="n">
        <f aca="false">F507*'Assumptions &amp; Data'!F641</f>
        <v>1500804.90774</v>
      </c>
      <c r="H507" s="39" t="n">
        <f aca="false">F507-G507</f>
        <v>19969937.69226</v>
      </c>
      <c r="I507" s="39" t="n">
        <f aca="false">H507*'Assumptions &amp; Data'!G641</f>
        <v>3448808.2394533</v>
      </c>
      <c r="J507" s="39" t="n">
        <f aca="false">E507*'Assumptions &amp; Data'!H641</f>
        <v>333644.32</v>
      </c>
      <c r="K507" s="39" t="n">
        <f aca="false">H507*'Assumptions &amp; Data'!I641</f>
        <v>577131.199306314</v>
      </c>
      <c r="L507" s="39" t="n">
        <f aca="false">H507*'Assumptions &amp; Data'!J641</f>
        <v>313528.021768482</v>
      </c>
      <c r="M507" s="39" t="n">
        <f aca="false">I507+J507+K507-L507</f>
        <v>4046055.73699113</v>
      </c>
      <c r="N507" s="39" t="n">
        <f aca="false">E507*'Assumptions &amp; Data'!N641</f>
        <v>1118134.66</v>
      </c>
      <c r="O507" s="39" t="n">
        <f aca="false">E507*'Assumptions &amp; Data'!O641</f>
        <v>324207.3</v>
      </c>
      <c r="P507" s="39" t="n">
        <f aca="false">H507*'Assumptions &amp; Data'!P641</f>
        <v>195705.389384148</v>
      </c>
      <c r="Q507" s="39" t="n">
        <f aca="false">M507-N507-O507-P507</f>
        <v>2408008.38760699</v>
      </c>
      <c r="R507" s="39" t="n">
        <f aca="false">'Assumptions &amp; Data'!L641*'Assumptions &amp; Data'!M641</f>
        <v>507840</v>
      </c>
      <c r="S507" s="37" t="n">
        <f aca="false">'Assumptions &amp; Data'!Q641</f>
        <v>423000</v>
      </c>
      <c r="T507" s="37" t="n">
        <f aca="false">'Assumptions &amp; Data'!R641</f>
        <v>145487</v>
      </c>
      <c r="U507" s="37" t="n">
        <f aca="false">'Assumptions &amp; Data'!S641</f>
        <v>143323</v>
      </c>
      <c r="V507" s="39" t="n">
        <f aca="false">Q507-R507-S507-T507-U507</f>
        <v>1188358.38760699</v>
      </c>
      <c r="W507" s="39" t="n">
        <f aca="false">DAY(EOMONTH(C507,0))</f>
        <v>28</v>
      </c>
      <c r="X507" s="40" t="n">
        <f aca="false">E507/W507</f>
        <v>1087.21428571429</v>
      </c>
      <c r="Y507" s="39" t="n">
        <f aca="false">R507+S507+T507+U507</f>
        <v>1219650</v>
      </c>
    </row>
    <row r="508" customFormat="false" ht="15" hidden="false" customHeight="false" outlineLevel="0" collapsed="false">
      <c r="A508" s="37" t="str">
        <f aca="false">'Assumptions &amp; Data'!A642</f>
        <v>SM0438</v>
      </c>
      <c r="B508" s="37" t="str">
        <f aca="false">'Assumptions &amp; Data'!B642</f>
        <v>DS037</v>
      </c>
      <c r="C508" s="38" t="n">
        <f aca="false">'Assumptions &amp; Data'!C642</f>
        <v>46082</v>
      </c>
      <c r="D508" s="39" t="str">
        <f aca="false">INDEX('Assumptions &amp; Data'!$B$142:$B$201,MATCH(B508,'Assumptions &amp; Data'!$A$142:$A$201,0))</f>
        <v>Bengaluru</v>
      </c>
      <c r="E508" s="37" t="n">
        <f aca="false">'Assumptions &amp; Data'!D642</f>
        <v>32546</v>
      </c>
      <c r="F508" s="39" t="n">
        <f aca="false">E508*'Assumptions &amp; Data'!E642</f>
        <v>24376954</v>
      </c>
      <c r="G508" s="39" t="n">
        <f aca="false">F508*'Assumptions &amp; Data'!F642</f>
        <v>1621067.441</v>
      </c>
      <c r="H508" s="39" t="n">
        <f aca="false">F508-G508</f>
        <v>22755886.559</v>
      </c>
      <c r="I508" s="39" t="n">
        <f aca="false">H508*'Assumptions &amp; Data'!G642</f>
        <v>4011862.8003517</v>
      </c>
      <c r="J508" s="39" t="n">
        <f aca="false">E508*'Assumptions &amp; Data'!H642</f>
        <v>389901.08</v>
      </c>
      <c r="K508" s="39" t="n">
        <f aca="false">H508*'Assumptions &amp; Data'!I642</f>
        <v>662196.2988669</v>
      </c>
      <c r="L508" s="39" t="n">
        <f aca="false">H508*'Assumptions &amp; Data'!J642</f>
        <v>389125.6601589</v>
      </c>
      <c r="M508" s="39" t="n">
        <f aca="false">I508+J508+K508-L508</f>
        <v>4674834.5190597</v>
      </c>
      <c r="N508" s="39" t="n">
        <f aca="false">E508*'Assumptions &amp; Data'!N642</f>
        <v>1254973.76</v>
      </c>
      <c r="O508" s="39" t="n">
        <f aca="false">E508*'Assumptions &amp; Data'!O642</f>
        <v>347916.74</v>
      </c>
      <c r="P508" s="39" t="n">
        <f aca="false">H508*'Assumptions &amp; Data'!P642</f>
        <v>243487.9861813</v>
      </c>
      <c r="Q508" s="39" t="n">
        <f aca="false">M508-N508-O508-P508</f>
        <v>2828456.0328784</v>
      </c>
      <c r="R508" s="39" t="n">
        <f aca="false">'Assumptions &amp; Data'!L642*'Assumptions &amp; Data'!M642</f>
        <v>442000</v>
      </c>
      <c r="S508" s="37" t="n">
        <f aca="false">'Assumptions &amp; Data'!Q642</f>
        <v>423000</v>
      </c>
      <c r="T508" s="37" t="n">
        <f aca="false">'Assumptions &amp; Data'!R642</f>
        <v>135374</v>
      </c>
      <c r="U508" s="37" t="n">
        <f aca="false">'Assumptions &amp; Data'!S642</f>
        <v>165533</v>
      </c>
      <c r="V508" s="39" t="n">
        <f aca="false">Q508-R508-S508-T508-U508</f>
        <v>1662549.0328784</v>
      </c>
      <c r="W508" s="39" t="n">
        <f aca="false">DAY(EOMONTH(C508,0))</f>
        <v>31</v>
      </c>
      <c r="X508" s="40" t="n">
        <f aca="false">E508/W508</f>
        <v>1049.87096774194</v>
      </c>
      <c r="Y508" s="39" t="n">
        <f aca="false">R508+S508+T508+U508</f>
        <v>1165907</v>
      </c>
    </row>
    <row r="509" customFormat="false" ht="15" hidden="false" customHeight="false" outlineLevel="0" collapsed="false">
      <c r="A509" s="37" t="str">
        <f aca="false">'Assumptions &amp; Data'!A643</f>
        <v>SM0439</v>
      </c>
      <c r="B509" s="37" t="str">
        <f aca="false">'Assumptions &amp; Data'!B643</f>
        <v>DS037</v>
      </c>
      <c r="C509" s="38" t="n">
        <f aca="false">'Assumptions &amp; Data'!C643</f>
        <v>46113</v>
      </c>
      <c r="D509" s="39" t="str">
        <f aca="false">INDEX('Assumptions &amp; Data'!$B$142:$B$201,MATCH(B509,'Assumptions &amp; Data'!$A$142:$A$201,0))</f>
        <v>Bengaluru</v>
      </c>
      <c r="E509" s="37" t="n">
        <f aca="false">'Assumptions &amp; Data'!D643</f>
        <v>33484</v>
      </c>
      <c r="F509" s="39" t="n">
        <f aca="false">E509*'Assumptions &amp; Data'!E643</f>
        <v>24617436.8</v>
      </c>
      <c r="G509" s="39" t="n">
        <f aca="false">F509*'Assumptions &amp; Data'!F643</f>
        <v>1651830.00928</v>
      </c>
      <c r="H509" s="39" t="n">
        <f aca="false">F509-G509</f>
        <v>22965606.79072</v>
      </c>
      <c r="I509" s="39" t="n">
        <f aca="false">H509*'Assumptions &amp; Data'!G643</f>
        <v>4060319.2805993</v>
      </c>
      <c r="J509" s="39" t="n">
        <f aca="false">E509*'Assumptions &amp; Data'!H643</f>
        <v>393771.84</v>
      </c>
      <c r="K509" s="39" t="n">
        <f aca="false">H509*'Assumptions &amp; Data'!I643</f>
        <v>677485.40032624</v>
      </c>
      <c r="L509" s="39" t="n">
        <f aca="false">H509*'Assumptions &amp; Data'!J643</f>
        <v>408787.800874816</v>
      </c>
      <c r="M509" s="39" t="n">
        <f aca="false">I509+J509+K509-L509</f>
        <v>4722788.72005072</v>
      </c>
      <c r="N509" s="39" t="n">
        <f aca="false">E509*'Assumptions &amp; Data'!N643</f>
        <v>1275740.4</v>
      </c>
      <c r="O509" s="39" t="n">
        <f aca="false">E509*'Assumptions &amp; Data'!O643</f>
        <v>350912.32</v>
      </c>
      <c r="P509" s="39" t="n">
        <f aca="false">H509*'Assumptions &amp; Data'!P643</f>
        <v>245731.992660704</v>
      </c>
      <c r="Q509" s="39" t="n">
        <f aca="false">M509-N509-O509-P509</f>
        <v>2850404.00739002</v>
      </c>
      <c r="R509" s="39" t="n">
        <f aca="false">'Assumptions &amp; Data'!L643*'Assumptions &amp; Data'!M643</f>
        <v>553000</v>
      </c>
      <c r="S509" s="37" t="n">
        <f aca="false">'Assumptions &amp; Data'!Q643</f>
        <v>423000</v>
      </c>
      <c r="T509" s="37" t="n">
        <f aca="false">'Assumptions &amp; Data'!R643</f>
        <v>138321</v>
      </c>
      <c r="U509" s="37" t="n">
        <f aca="false">'Assumptions &amp; Data'!S643</f>
        <v>166706</v>
      </c>
      <c r="V509" s="39" t="n">
        <f aca="false">Q509-R509-S509-T509-U509</f>
        <v>1569377.00739002</v>
      </c>
      <c r="W509" s="39" t="n">
        <f aca="false">DAY(EOMONTH(C509,0))</f>
        <v>30</v>
      </c>
      <c r="X509" s="40" t="n">
        <f aca="false">E509/W509</f>
        <v>1116.13333333333</v>
      </c>
      <c r="Y509" s="39" t="n">
        <f aca="false">R509+S509+T509+U509</f>
        <v>1281027</v>
      </c>
    </row>
    <row r="510" customFormat="false" ht="15" hidden="false" customHeight="false" outlineLevel="0" collapsed="false">
      <c r="A510" s="37" t="str">
        <f aca="false">'Assumptions &amp; Data'!A644</f>
        <v>SM0440</v>
      </c>
      <c r="B510" s="37" t="str">
        <f aca="false">'Assumptions &amp; Data'!B644</f>
        <v>DS037</v>
      </c>
      <c r="C510" s="38" t="n">
        <f aca="false">'Assumptions &amp; Data'!C644</f>
        <v>46143</v>
      </c>
      <c r="D510" s="39" t="str">
        <f aca="false">INDEX('Assumptions &amp; Data'!$B$142:$B$201,MATCH(B510,'Assumptions &amp; Data'!$A$142:$A$201,0))</f>
        <v>Bengaluru</v>
      </c>
      <c r="E510" s="37" t="n">
        <f aca="false">'Assumptions &amp; Data'!D644</f>
        <v>35118</v>
      </c>
      <c r="F510" s="39" t="n">
        <f aca="false">E510*'Assumptions &amp; Data'!E644</f>
        <v>25288471.8</v>
      </c>
      <c r="G510" s="39" t="n">
        <f aca="false">F510*'Assumptions &amp; Data'!F644</f>
        <v>1747433.40138</v>
      </c>
      <c r="H510" s="39" t="n">
        <f aca="false">F510-G510</f>
        <v>23541038.39862</v>
      </c>
      <c r="I510" s="39" t="n">
        <f aca="false">H510*'Assumptions &amp; Data'!G644</f>
        <v>4051412.7084025</v>
      </c>
      <c r="J510" s="39" t="n">
        <f aca="false">E510*'Assumptions &amp; Data'!H644</f>
        <v>399291.66</v>
      </c>
      <c r="K510" s="39" t="n">
        <f aca="false">H510*'Assumptions &amp; Data'!I644</f>
        <v>692106.528919428</v>
      </c>
      <c r="L510" s="39" t="n">
        <f aca="false">H510*'Assumptions &amp; Data'!J644</f>
        <v>407259.964296126</v>
      </c>
      <c r="M510" s="39" t="n">
        <f aca="false">I510+J510+K510-L510</f>
        <v>4735550.9330258</v>
      </c>
      <c r="N510" s="39" t="n">
        <f aca="false">E510*'Assumptions &amp; Data'!N644</f>
        <v>1310603.76</v>
      </c>
      <c r="O510" s="39" t="n">
        <f aca="false">E510*'Assumptions &amp; Data'!O644</f>
        <v>378220.86</v>
      </c>
      <c r="P510" s="39" t="n">
        <f aca="false">H510*'Assumptions &amp; Data'!P644</f>
        <v>230702.176306476</v>
      </c>
      <c r="Q510" s="39" t="n">
        <f aca="false">M510-N510-O510-P510</f>
        <v>2816024.13671933</v>
      </c>
      <c r="R510" s="39" t="n">
        <f aca="false">'Assumptions &amp; Data'!L644*'Assumptions &amp; Data'!M644</f>
        <v>575640</v>
      </c>
      <c r="S510" s="37" t="n">
        <f aca="false">'Assumptions &amp; Data'!Q644</f>
        <v>423000</v>
      </c>
      <c r="T510" s="37" t="n">
        <f aca="false">'Assumptions &amp; Data'!R644</f>
        <v>132536</v>
      </c>
      <c r="U510" s="37" t="n">
        <f aca="false">'Assumptions &amp; Data'!S644</f>
        <v>180344</v>
      </c>
      <c r="V510" s="39" t="n">
        <f aca="false">Q510-R510-S510-T510-U510</f>
        <v>1504504.13671933</v>
      </c>
      <c r="W510" s="39" t="n">
        <f aca="false">DAY(EOMONTH(C510,0))</f>
        <v>31</v>
      </c>
      <c r="X510" s="40" t="n">
        <f aca="false">E510/W510</f>
        <v>1132.83870967742</v>
      </c>
      <c r="Y510" s="39" t="n">
        <f aca="false">R510+S510+T510+U510</f>
        <v>1311520</v>
      </c>
    </row>
    <row r="511" customFormat="false" ht="15" hidden="false" customHeight="false" outlineLevel="0" collapsed="false">
      <c r="A511" s="37" t="str">
        <f aca="false">'Assumptions &amp; Data'!A645</f>
        <v>SM0441</v>
      </c>
      <c r="B511" s="37" t="str">
        <f aca="false">'Assumptions &amp; Data'!B645</f>
        <v>DS037</v>
      </c>
      <c r="C511" s="38" t="n">
        <f aca="false">'Assumptions &amp; Data'!C645</f>
        <v>46174</v>
      </c>
      <c r="D511" s="39" t="str">
        <f aca="false">INDEX('Assumptions &amp; Data'!$B$142:$B$201,MATCH(B511,'Assumptions &amp; Data'!$A$142:$A$201,0))</f>
        <v>Bengaluru</v>
      </c>
      <c r="E511" s="37" t="n">
        <f aca="false">'Assumptions &amp; Data'!D645</f>
        <v>32751</v>
      </c>
      <c r="F511" s="39" t="n">
        <f aca="false">E511*'Assumptions &amp; Data'!E645</f>
        <v>23760850.5</v>
      </c>
      <c r="G511" s="39" t="n">
        <f aca="false">F511*'Assumptions &amp; Data'!F645</f>
        <v>1582472.6433</v>
      </c>
      <c r="H511" s="39" t="n">
        <f aca="false">F511-G511</f>
        <v>22178377.8567</v>
      </c>
      <c r="I511" s="39" t="n">
        <f aca="false">H511*'Assumptions &amp; Data'!G645</f>
        <v>3741492.34442529</v>
      </c>
      <c r="J511" s="39" t="n">
        <f aca="false">E511*'Assumptions &amp; Data'!H645</f>
        <v>383841.72</v>
      </c>
      <c r="K511" s="39" t="n">
        <f aca="false">H511*'Assumptions &amp; Data'!I645</f>
        <v>647608.63341564</v>
      </c>
      <c r="L511" s="39" t="n">
        <f aca="false">H511*'Assumptions &amp; Data'!J645</f>
        <v>372596.74799256</v>
      </c>
      <c r="M511" s="39" t="n">
        <f aca="false">I511+J511+K511-L511</f>
        <v>4400345.94984837</v>
      </c>
      <c r="N511" s="39" t="n">
        <f aca="false">E511*'Assumptions &amp; Data'!N645</f>
        <v>1222267.32</v>
      </c>
      <c r="O511" s="39" t="n">
        <f aca="false">E511*'Assumptions &amp; Data'!O645</f>
        <v>348470.64</v>
      </c>
      <c r="P511" s="39" t="n">
        <f aca="false">H511*'Assumptions &amp; Data'!P645</f>
        <v>237308.64306669</v>
      </c>
      <c r="Q511" s="39" t="n">
        <f aca="false">M511-N511-O511-P511</f>
        <v>2592299.34678168</v>
      </c>
      <c r="R511" s="39" t="n">
        <f aca="false">'Assumptions &amp; Data'!L645*'Assumptions &amp; Data'!M645</f>
        <v>509680</v>
      </c>
      <c r="S511" s="37" t="n">
        <f aca="false">'Assumptions &amp; Data'!Q645</f>
        <v>423000</v>
      </c>
      <c r="T511" s="37" t="n">
        <f aca="false">'Assumptions &amp; Data'!R645</f>
        <v>138842</v>
      </c>
      <c r="U511" s="37" t="n">
        <f aca="false">'Assumptions &amp; Data'!S645</f>
        <v>165579</v>
      </c>
      <c r="V511" s="39" t="n">
        <f aca="false">Q511-R511-S511-T511-U511</f>
        <v>1355198.34678168</v>
      </c>
      <c r="W511" s="39" t="n">
        <f aca="false">DAY(EOMONTH(C511,0))</f>
        <v>30</v>
      </c>
      <c r="X511" s="40" t="n">
        <f aca="false">E511/W511</f>
        <v>1091.7</v>
      </c>
      <c r="Y511" s="39" t="n">
        <f aca="false">R511+S511+T511+U511</f>
        <v>1237101</v>
      </c>
    </row>
    <row r="512" customFormat="false" ht="15" hidden="false" customHeight="false" outlineLevel="0" collapsed="false">
      <c r="A512" s="37" t="str">
        <f aca="false">'Assumptions &amp; Data'!A646</f>
        <v>SM0442</v>
      </c>
      <c r="B512" s="37" t="str">
        <f aca="false">'Assumptions &amp; Data'!B646</f>
        <v>DS037</v>
      </c>
      <c r="C512" s="38" t="n">
        <f aca="false">'Assumptions &amp; Data'!C646</f>
        <v>46204</v>
      </c>
      <c r="D512" s="39" t="str">
        <f aca="false">INDEX('Assumptions &amp; Data'!$B$142:$B$201,MATCH(B512,'Assumptions &amp; Data'!$A$142:$A$201,0))</f>
        <v>Bengaluru</v>
      </c>
      <c r="E512" s="37" t="n">
        <f aca="false">'Assumptions &amp; Data'!D646</f>
        <v>35492</v>
      </c>
      <c r="F512" s="39" t="n">
        <f aca="false">E512*'Assumptions &amp; Data'!E646</f>
        <v>25501002</v>
      </c>
      <c r="G512" s="39" t="n">
        <f aca="false">F512*'Assumptions &amp; Data'!F646</f>
        <v>1708567.134</v>
      </c>
      <c r="H512" s="39" t="n">
        <f aca="false">F512-G512</f>
        <v>23792434.866</v>
      </c>
      <c r="I512" s="39" t="n">
        <f aca="false">H512*'Assumptions &amp; Data'!G646</f>
        <v>4073264.8490592</v>
      </c>
      <c r="J512" s="39" t="n">
        <f aca="false">E512*'Assumptions &amp; Data'!H646</f>
        <v>425194.16</v>
      </c>
      <c r="K512" s="39" t="n">
        <f aca="false">H512*'Assumptions &amp; Data'!I646</f>
        <v>701876.828547</v>
      </c>
      <c r="L512" s="39" t="n">
        <f aca="false">H512*'Assumptions &amp; Data'!J646</f>
        <v>375920.4708828</v>
      </c>
      <c r="M512" s="39" t="n">
        <f aca="false">I512+J512+K512-L512</f>
        <v>4824415.3667234</v>
      </c>
      <c r="N512" s="39" t="n">
        <f aca="false">E512*'Assumptions &amp; Data'!N646</f>
        <v>1303621.16</v>
      </c>
      <c r="O512" s="39" t="n">
        <f aca="false">E512*'Assumptions &amp; Data'!O646</f>
        <v>382603.76</v>
      </c>
      <c r="P512" s="39" t="n">
        <f aca="false">H512*'Assumptions &amp; Data'!P646</f>
        <v>230786.6182002</v>
      </c>
      <c r="Q512" s="39" t="n">
        <f aca="false">M512-N512-O512-P512</f>
        <v>2907403.8285232</v>
      </c>
      <c r="R512" s="39" t="n">
        <f aca="false">'Assumptions &amp; Data'!L646*'Assumptions &amp; Data'!M646</f>
        <v>510140</v>
      </c>
      <c r="S512" s="37" t="n">
        <f aca="false">'Assumptions &amp; Data'!Q646</f>
        <v>423000</v>
      </c>
      <c r="T512" s="37" t="n">
        <f aca="false">'Assumptions &amp; Data'!R646</f>
        <v>150942</v>
      </c>
      <c r="U512" s="37" t="n">
        <f aca="false">'Assumptions &amp; Data'!S646</f>
        <v>159170</v>
      </c>
      <c r="V512" s="39" t="n">
        <f aca="false">Q512-R512-S512-T512-U512</f>
        <v>1664151.8285232</v>
      </c>
      <c r="W512" s="39" t="n">
        <f aca="false">DAY(EOMONTH(C512,0))</f>
        <v>31</v>
      </c>
      <c r="X512" s="40" t="n">
        <f aca="false">E512/W512</f>
        <v>1144.90322580645</v>
      </c>
      <c r="Y512" s="39" t="n">
        <f aca="false">R512+S512+T512+U512</f>
        <v>1243252</v>
      </c>
    </row>
    <row r="513" customFormat="false" ht="15" hidden="false" customHeight="false" outlineLevel="0" collapsed="false">
      <c r="A513" s="37" t="str">
        <f aca="false">'Assumptions &amp; Data'!A647</f>
        <v>SM0443</v>
      </c>
      <c r="B513" s="37" t="str">
        <f aca="false">'Assumptions &amp; Data'!B647</f>
        <v>DS037</v>
      </c>
      <c r="C513" s="38" t="n">
        <f aca="false">'Assumptions &amp; Data'!C647</f>
        <v>46235</v>
      </c>
      <c r="D513" s="39" t="str">
        <f aca="false">INDEX('Assumptions &amp; Data'!$B$142:$B$201,MATCH(B513,'Assumptions &amp; Data'!$A$142:$A$201,0))</f>
        <v>Bengaluru</v>
      </c>
      <c r="E513" s="37" t="n">
        <f aca="false">'Assumptions &amp; Data'!D647</f>
        <v>35803</v>
      </c>
      <c r="F513" s="39" t="n">
        <f aca="false">E513*'Assumptions &amp; Data'!E647</f>
        <v>25856926.6</v>
      </c>
      <c r="G513" s="39" t="n">
        <f aca="false">F513*'Assumptions &amp; Data'!F647</f>
        <v>1768613.77944</v>
      </c>
      <c r="H513" s="39" t="n">
        <f aca="false">F513-G513</f>
        <v>24088312.82056</v>
      </c>
      <c r="I513" s="39" t="n">
        <f aca="false">H513*'Assumptions &amp; Data'!G647</f>
        <v>4131145.64872604</v>
      </c>
      <c r="J513" s="39" t="n">
        <f aca="false">E513*'Assumptions &amp; Data'!H647</f>
        <v>411018.44</v>
      </c>
      <c r="K513" s="39" t="n">
        <f aca="false">H513*'Assumptions &amp; Data'!I647</f>
        <v>737102.372309136</v>
      </c>
      <c r="L513" s="39" t="n">
        <f aca="false">H513*'Assumptions &amp; Data'!J647</f>
        <v>385413.00512896</v>
      </c>
      <c r="M513" s="39" t="n">
        <f aca="false">I513+J513+K513-L513</f>
        <v>4893853.45590622</v>
      </c>
      <c r="N513" s="39" t="n">
        <f aca="false">E513*'Assumptions &amp; Data'!N647</f>
        <v>1342612.5</v>
      </c>
      <c r="O513" s="39" t="n">
        <f aca="false">E513*'Assumptions &amp; Data'!O647</f>
        <v>383450.13</v>
      </c>
      <c r="P513" s="39" t="n">
        <f aca="false">H513*'Assumptions &amp; Data'!P647</f>
        <v>238474.296923544</v>
      </c>
      <c r="Q513" s="39" t="n">
        <f aca="false">M513-N513-O513-P513</f>
        <v>2929316.52898267</v>
      </c>
      <c r="R513" s="39" t="n">
        <f aca="false">'Assumptions &amp; Data'!L647*'Assumptions &amp; Data'!M647</f>
        <v>532800</v>
      </c>
      <c r="S513" s="37" t="n">
        <f aca="false">'Assumptions &amp; Data'!Q647</f>
        <v>423000</v>
      </c>
      <c r="T513" s="37" t="n">
        <f aca="false">'Assumptions &amp; Data'!R647</f>
        <v>142236</v>
      </c>
      <c r="U513" s="37" t="n">
        <f aca="false">'Assumptions &amp; Data'!S647</f>
        <v>158936</v>
      </c>
      <c r="V513" s="39" t="n">
        <f aca="false">Q513-R513-S513-T513-U513</f>
        <v>1672344.52898267</v>
      </c>
      <c r="W513" s="39" t="n">
        <f aca="false">DAY(EOMONTH(C513,0))</f>
        <v>31</v>
      </c>
      <c r="X513" s="40" t="n">
        <f aca="false">E513/W513</f>
        <v>1154.93548387097</v>
      </c>
      <c r="Y513" s="39" t="n">
        <f aca="false">R513+S513+T513+U513</f>
        <v>1256972</v>
      </c>
    </row>
    <row r="514" customFormat="false" ht="15" hidden="false" customHeight="false" outlineLevel="0" collapsed="false">
      <c r="A514" s="37" t="str">
        <f aca="false">'Assumptions &amp; Data'!A648</f>
        <v>SM0444</v>
      </c>
      <c r="B514" s="37" t="str">
        <f aca="false">'Assumptions &amp; Data'!B648</f>
        <v>DS037</v>
      </c>
      <c r="C514" s="38" t="n">
        <f aca="false">'Assumptions &amp; Data'!C648</f>
        <v>46266</v>
      </c>
      <c r="D514" s="39" t="str">
        <f aca="false">INDEX('Assumptions &amp; Data'!$B$142:$B$201,MATCH(B514,'Assumptions &amp; Data'!$A$142:$A$201,0))</f>
        <v>Bengaluru</v>
      </c>
      <c r="E514" s="37" t="n">
        <f aca="false">'Assumptions &amp; Data'!D648</f>
        <v>33590</v>
      </c>
      <c r="F514" s="39" t="n">
        <f aca="false">E514*'Assumptions &amp; Data'!E648</f>
        <v>24661778</v>
      </c>
      <c r="G514" s="39" t="n">
        <f aca="false">F514*'Assumptions &amp; Data'!F648</f>
        <v>1763317.127</v>
      </c>
      <c r="H514" s="39" t="n">
        <f aca="false">F514-G514</f>
        <v>22898460.873</v>
      </c>
      <c r="I514" s="39" t="n">
        <f aca="false">H514*'Assumptions &amp; Data'!G648</f>
        <v>3979752.4997274</v>
      </c>
      <c r="J514" s="39" t="n">
        <f aca="false">E514*'Assumptions &amp; Data'!H648</f>
        <v>390987.6</v>
      </c>
      <c r="K514" s="39" t="n">
        <f aca="false">H514*'Assumptions &amp; Data'!I648</f>
        <v>682374.1340154</v>
      </c>
      <c r="L514" s="39" t="n">
        <f aca="false">H514*'Assumptions &amp; Data'!J648</f>
        <v>389273.834841</v>
      </c>
      <c r="M514" s="39" t="n">
        <f aca="false">I514+J514+K514-L514</f>
        <v>4663840.3989018</v>
      </c>
      <c r="N514" s="39" t="n">
        <f aca="false">E514*'Assumptions &amp; Data'!N648</f>
        <v>1277091.8</v>
      </c>
      <c r="O514" s="39" t="n">
        <f aca="false">E514*'Assumptions &amp; Data'!O648</f>
        <v>362436.1</v>
      </c>
      <c r="P514" s="39" t="n">
        <f aca="false">H514*'Assumptions &amp; Data'!P648</f>
        <v>228984.60873</v>
      </c>
      <c r="Q514" s="39" t="n">
        <f aca="false">M514-N514-O514-P514</f>
        <v>2795327.8901718</v>
      </c>
      <c r="R514" s="39" t="n">
        <f aca="false">'Assumptions &amp; Data'!L648*'Assumptions &amp; Data'!M648</f>
        <v>533280</v>
      </c>
      <c r="S514" s="37" t="n">
        <f aca="false">'Assumptions &amp; Data'!Q648</f>
        <v>423000</v>
      </c>
      <c r="T514" s="37" t="n">
        <f aca="false">'Assumptions &amp; Data'!R648</f>
        <v>143606</v>
      </c>
      <c r="U514" s="37" t="n">
        <f aca="false">'Assumptions &amp; Data'!S648</f>
        <v>153492</v>
      </c>
      <c r="V514" s="39" t="n">
        <f aca="false">Q514-R514-S514-T514-U514</f>
        <v>1541949.8901718</v>
      </c>
      <c r="W514" s="39" t="n">
        <f aca="false">DAY(EOMONTH(C514,0))</f>
        <v>30</v>
      </c>
      <c r="X514" s="40" t="n">
        <f aca="false">E514/W514</f>
        <v>1119.66666666667</v>
      </c>
      <c r="Y514" s="39" t="n">
        <f aca="false">R514+S514+T514+U514</f>
        <v>1253378</v>
      </c>
    </row>
    <row r="515" customFormat="false" ht="15" hidden="false" customHeight="false" outlineLevel="0" collapsed="false">
      <c r="A515" s="37" t="str">
        <f aca="false">'Assumptions &amp; Data'!A649</f>
        <v>SM0445</v>
      </c>
      <c r="B515" s="37" t="str">
        <f aca="false">'Assumptions &amp; Data'!B649</f>
        <v>DS038</v>
      </c>
      <c r="C515" s="38" t="n">
        <f aca="false">'Assumptions &amp; Data'!C649</f>
        <v>45931</v>
      </c>
      <c r="D515" s="39" t="str">
        <f aca="false">INDEX('Assumptions &amp; Data'!$B$142:$B$201,MATCH(B515,'Assumptions &amp; Data'!$A$142:$A$201,0))</f>
        <v>Bengaluru</v>
      </c>
      <c r="E515" s="37" t="n">
        <f aca="false">'Assumptions &amp; Data'!D649</f>
        <v>3417</v>
      </c>
      <c r="F515" s="39" t="n">
        <f aca="false">E515*'Assumptions &amp; Data'!E649</f>
        <v>2319459.6</v>
      </c>
      <c r="G515" s="39" t="n">
        <f aca="false">F515*'Assumptions &amp; Data'!F649</f>
        <v>185324.82204</v>
      </c>
      <c r="H515" s="39" t="n">
        <f aca="false">F515-G515</f>
        <v>2134134.77796</v>
      </c>
      <c r="I515" s="39" t="n">
        <f aca="false">H515*'Assumptions &amp; Data'!G649</f>
        <v>354479.786619156</v>
      </c>
      <c r="J515" s="39" t="n">
        <f aca="false">E515*'Assumptions &amp; Data'!H649</f>
        <v>42097.44</v>
      </c>
      <c r="K515" s="39" t="n">
        <f aca="false">H515*'Assumptions &amp; Data'!I649</f>
        <v>36493.704703116</v>
      </c>
      <c r="L515" s="39" t="n">
        <f aca="false">H515*'Assumptions &amp; Data'!J649</f>
        <v>76615.438528764</v>
      </c>
      <c r="M515" s="39" t="n">
        <f aca="false">I515+J515+K515-L515</f>
        <v>356455.492793508</v>
      </c>
      <c r="N515" s="39" t="n">
        <f aca="false">E515*'Assumptions &amp; Data'!N649</f>
        <v>165280.29</v>
      </c>
      <c r="O515" s="39" t="n">
        <f aca="false">E515*'Assumptions &amp; Data'!O649</f>
        <v>35775.99</v>
      </c>
      <c r="P515" s="39" t="n">
        <f aca="false">H515*'Assumptions &amp; Data'!P649</f>
        <v>20487.693868416</v>
      </c>
      <c r="Q515" s="39" t="n">
        <f aca="false">M515-N515-O515-P515</f>
        <v>134911.518925092</v>
      </c>
      <c r="R515" s="39" t="n">
        <f aca="false">'Assumptions &amp; Data'!L649*'Assumptions &amp; Data'!M649</f>
        <v>352000</v>
      </c>
      <c r="S515" s="37" t="n">
        <f aca="false">'Assumptions &amp; Data'!Q649</f>
        <v>735000</v>
      </c>
      <c r="T515" s="37" t="n">
        <f aca="false">'Assumptions &amp; Data'!R649</f>
        <v>185030</v>
      </c>
      <c r="U515" s="37" t="n">
        <f aca="false">'Assumptions &amp; Data'!S649</f>
        <v>73014</v>
      </c>
      <c r="V515" s="39" t="n">
        <f aca="false">Q515-R515-S515-T515-U515</f>
        <v>-1210132.48107491</v>
      </c>
      <c r="W515" s="39" t="n">
        <f aca="false">DAY(EOMONTH(C515,0))</f>
        <v>31</v>
      </c>
      <c r="X515" s="40" t="n">
        <f aca="false">E515/W515</f>
        <v>110.225806451613</v>
      </c>
      <c r="Y515" s="39" t="n">
        <f aca="false">R515+S515+T515+U515</f>
        <v>1345044</v>
      </c>
    </row>
    <row r="516" customFormat="false" ht="15" hidden="false" customHeight="false" outlineLevel="0" collapsed="false">
      <c r="A516" s="37" t="str">
        <f aca="false">'Assumptions &amp; Data'!A650</f>
        <v>SM0446</v>
      </c>
      <c r="B516" s="37" t="str">
        <f aca="false">'Assumptions &amp; Data'!B650</f>
        <v>DS038</v>
      </c>
      <c r="C516" s="38" t="n">
        <f aca="false">'Assumptions &amp; Data'!C650</f>
        <v>45962</v>
      </c>
      <c r="D516" s="39" t="str">
        <f aca="false">INDEX('Assumptions &amp; Data'!$B$142:$B$201,MATCH(B516,'Assumptions &amp; Data'!$A$142:$A$201,0))</f>
        <v>Bengaluru</v>
      </c>
      <c r="E516" s="37" t="n">
        <f aca="false">'Assumptions &amp; Data'!D650</f>
        <v>3042</v>
      </c>
      <c r="F516" s="39" t="n">
        <f aca="false">E516*'Assumptions &amp; Data'!E650</f>
        <v>2018367</v>
      </c>
      <c r="G516" s="39" t="n">
        <f aca="false">F516*'Assumptions &amp; Data'!F650</f>
        <v>159854.6664</v>
      </c>
      <c r="H516" s="39" t="n">
        <f aca="false">F516-G516</f>
        <v>1858512.3336</v>
      </c>
      <c r="I516" s="39" t="n">
        <f aca="false">H516*'Assumptions &amp; Data'!G650</f>
        <v>311486.66711136</v>
      </c>
      <c r="J516" s="39" t="n">
        <f aca="false">E516*'Assumptions &amp; Data'!H650</f>
        <v>37081.98</v>
      </c>
      <c r="K516" s="39" t="n">
        <f aca="false">H516*'Assumptions &amp; Data'!I650</f>
        <v>34754.18063832</v>
      </c>
      <c r="L516" s="39" t="n">
        <f aca="false">H516*'Assumptions &amp; Data'!J650</f>
        <v>64862.08044264</v>
      </c>
      <c r="M516" s="39" t="n">
        <f aca="false">I516+J516+K516-L516</f>
        <v>318460.74730704</v>
      </c>
      <c r="N516" s="39" t="n">
        <f aca="false">E516*'Assumptions &amp; Data'!N650</f>
        <v>148692.96</v>
      </c>
      <c r="O516" s="39" t="n">
        <f aca="false">E516*'Assumptions &amp; Data'!O650</f>
        <v>30724.2</v>
      </c>
      <c r="P516" s="39" t="n">
        <f aca="false">H516*'Assumptions &amp; Data'!P650</f>
        <v>18585.123336</v>
      </c>
      <c r="Q516" s="39" t="n">
        <f aca="false">M516-N516-O516-P516</f>
        <v>120458.46397104</v>
      </c>
      <c r="R516" s="39" t="n">
        <f aca="false">'Assumptions &amp; Data'!L650*'Assumptions &amp; Data'!M650</f>
        <v>352320</v>
      </c>
      <c r="S516" s="37" t="n">
        <f aca="false">'Assumptions &amp; Data'!Q650</f>
        <v>735000</v>
      </c>
      <c r="T516" s="37" t="n">
        <f aca="false">'Assumptions &amp; Data'!R650</f>
        <v>185572</v>
      </c>
      <c r="U516" s="37" t="n">
        <f aca="false">'Assumptions &amp; Data'!S650</f>
        <v>61736</v>
      </c>
      <c r="V516" s="39" t="n">
        <f aca="false">Q516-R516-S516-T516-U516</f>
        <v>-1214169.53602896</v>
      </c>
      <c r="W516" s="39" t="n">
        <f aca="false">DAY(EOMONTH(C516,0))</f>
        <v>30</v>
      </c>
      <c r="X516" s="40" t="n">
        <f aca="false">E516/W516</f>
        <v>101.4</v>
      </c>
      <c r="Y516" s="39" t="n">
        <f aca="false">R516+S516+T516+U516</f>
        <v>1334628</v>
      </c>
    </row>
    <row r="517" customFormat="false" ht="15" hidden="false" customHeight="false" outlineLevel="0" collapsed="false">
      <c r="A517" s="37" t="str">
        <f aca="false">'Assumptions &amp; Data'!A651</f>
        <v>SM0447</v>
      </c>
      <c r="B517" s="37" t="str">
        <f aca="false">'Assumptions &amp; Data'!B651</f>
        <v>DS038</v>
      </c>
      <c r="C517" s="38" t="n">
        <f aca="false">'Assumptions &amp; Data'!C651</f>
        <v>45992</v>
      </c>
      <c r="D517" s="39" t="str">
        <f aca="false">INDEX('Assumptions &amp; Data'!$B$142:$B$201,MATCH(B517,'Assumptions &amp; Data'!$A$142:$A$201,0))</f>
        <v>Bengaluru</v>
      </c>
      <c r="E517" s="37" t="n">
        <f aca="false">'Assumptions &amp; Data'!D651</f>
        <v>3136</v>
      </c>
      <c r="F517" s="39" t="n">
        <f aca="false">E517*'Assumptions &amp; Data'!E651</f>
        <v>2093593.6</v>
      </c>
      <c r="G517" s="39" t="n">
        <f aca="false">F517*'Assumptions &amp; Data'!F651</f>
        <v>160369.26976</v>
      </c>
      <c r="H517" s="39" t="n">
        <f aca="false">F517-G517</f>
        <v>1933224.33024</v>
      </c>
      <c r="I517" s="39" t="n">
        <f aca="false">H517*'Assumptions &amp; Data'!G651</f>
        <v>321881.85098496</v>
      </c>
      <c r="J517" s="39" t="n">
        <f aca="false">E517*'Assumptions &amp; Data'!H651</f>
        <v>39325.44</v>
      </c>
      <c r="K517" s="39" t="n">
        <f aca="false">H517*'Assumptions &amp; Data'!I651</f>
        <v>32671.491181056</v>
      </c>
      <c r="L517" s="39" t="n">
        <f aca="false">H517*'Assumptions &amp; Data'!J651</f>
        <v>69209.431022592</v>
      </c>
      <c r="M517" s="39" t="n">
        <f aca="false">I517+J517+K517-L517</f>
        <v>324669.351143424</v>
      </c>
      <c r="N517" s="39" t="n">
        <f aca="false">E517*'Assumptions &amp; Data'!N651</f>
        <v>152221.44</v>
      </c>
      <c r="O517" s="39" t="n">
        <f aca="false">E517*'Assumptions &amp; Data'!O651</f>
        <v>32833.92</v>
      </c>
      <c r="P517" s="39" t="n">
        <f aca="false">H517*'Assumptions &amp; Data'!P651</f>
        <v>19525.565735424</v>
      </c>
      <c r="Q517" s="39" t="n">
        <f aca="false">M517-N517-O517-P517</f>
        <v>120088.425408</v>
      </c>
      <c r="R517" s="39" t="n">
        <f aca="false">'Assumptions &amp; Data'!L651*'Assumptions &amp; Data'!M651</f>
        <v>352640</v>
      </c>
      <c r="S517" s="37" t="n">
        <f aca="false">'Assumptions &amp; Data'!Q651</f>
        <v>735000</v>
      </c>
      <c r="T517" s="37" t="n">
        <f aca="false">'Assumptions &amp; Data'!R651</f>
        <v>188173</v>
      </c>
      <c r="U517" s="37" t="n">
        <f aca="false">'Assumptions &amp; Data'!S651</f>
        <v>62711</v>
      </c>
      <c r="V517" s="39" t="n">
        <f aca="false">Q517-R517-S517-T517-U517</f>
        <v>-1218435.574592</v>
      </c>
      <c r="W517" s="39" t="n">
        <f aca="false">DAY(EOMONTH(C517,0))</f>
        <v>31</v>
      </c>
      <c r="X517" s="40" t="n">
        <f aca="false">E517/W517</f>
        <v>101.161290322581</v>
      </c>
      <c r="Y517" s="39" t="n">
        <f aca="false">R517+S517+T517+U517</f>
        <v>1338524</v>
      </c>
    </row>
    <row r="518" customFormat="false" ht="15" hidden="false" customHeight="false" outlineLevel="0" collapsed="false">
      <c r="A518" s="37" t="str">
        <f aca="false">'Assumptions &amp; Data'!A652</f>
        <v>SM0448</v>
      </c>
      <c r="B518" s="37" t="str">
        <f aca="false">'Assumptions &amp; Data'!B652</f>
        <v>DS038</v>
      </c>
      <c r="C518" s="38" t="n">
        <f aca="false">'Assumptions &amp; Data'!C652</f>
        <v>46023</v>
      </c>
      <c r="D518" s="39" t="str">
        <f aca="false">INDEX('Assumptions &amp; Data'!$B$142:$B$201,MATCH(B518,'Assumptions &amp; Data'!$A$142:$A$201,0))</f>
        <v>Bengaluru</v>
      </c>
      <c r="E518" s="37" t="n">
        <f aca="false">'Assumptions &amp; Data'!D652</f>
        <v>2948</v>
      </c>
      <c r="F518" s="39" t="n">
        <f aca="false">E518*'Assumptions &amp; Data'!E652</f>
        <v>1975749.6</v>
      </c>
      <c r="G518" s="39" t="n">
        <f aca="false">F518*'Assumptions &amp; Data'!F652</f>
        <v>170309.61552</v>
      </c>
      <c r="H518" s="39" t="n">
        <f aca="false">F518-G518</f>
        <v>1805439.98448</v>
      </c>
      <c r="I518" s="39" t="n">
        <f aca="false">H518*'Assumptions &amp; Data'!G652</f>
        <v>295550.525459376</v>
      </c>
      <c r="J518" s="39" t="n">
        <f aca="false">E518*'Assumptions &amp; Data'!H652</f>
        <v>38029.2</v>
      </c>
      <c r="K518" s="39" t="n">
        <f aca="false">H518*'Assumptions &amp; Data'!I652</f>
        <v>29970.303742368</v>
      </c>
      <c r="L518" s="39" t="n">
        <f aca="false">H518*'Assumptions &amp; Data'!J652</f>
        <v>62468.223463008</v>
      </c>
      <c r="M518" s="39" t="n">
        <f aca="false">I518+J518+K518-L518</f>
        <v>301081.805738736</v>
      </c>
      <c r="N518" s="39" t="n">
        <f aca="false">E518*'Assumptions &amp; Data'!N652</f>
        <v>140678.56</v>
      </c>
      <c r="O518" s="39" t="n">
        <f aca="false">E518*'Assumptions &amp; Data'!O652</f>
        <v>31425.68</v>
      </c>
      <c r="P518" s="39" t="n">
        <f aca="false">H518*'Assumptions &amp; Data'!P652</f>
        <v>17151.67985256</v>
      </c>
      <c r="Q518" s="39" t="n">
        <f aca="false">M518-N518-O518-P518</f>
        <v>111825.885886176</v>
      </c>
      <c r="R518" s="39" t="n">
        <f aca="false">'Assumptions &amp; Data'!L652*'Assumptions &amp; Data'!M652</f>
        <v>352960</v>
      </c>
      <c r="S518" s="37" t="n">
        <f aca="false">'Assumptions &amp; Data'!Q652</f>
        <v>735000</v>
      </c>
      <c r="T518" s="37" t="n">
        <f aca="false">'Assumptions &amp; Data'!R652</f>
        <v>191166</v>
      </c>
      <c r="U518" s="37" t="n">
        <f aca="false">'Assumptions &amp; Data'!S652</f>
        <v>61752</v>
      </c>
      <c r="V518" s="39" t="n">
        <f aca="false">Q518-R518-S518-T518-U518</f>
        <v>-1229052.11411382</v>
      </c>
      <c r="W518" s="39" t="n">
        <f aca="false">DAY(EOMONTH(C518,0))</f>
        <v>31</v>
      </c>
      <c r="X518" s="40" t="n">
        <f aca="false">E518/W518</f>
        <v>95.0967741935484</v>
      </c>
      <c r="Y518" s="39" t="n">
        <f aca="false">R518+S518+T518+U518</f>
        <v>1340878</v>
      </c>
    </row>
    <row r="519" customFormat="false" ht="15" hidden="false" customHeight="false" outlineLevel="0" collapsed="false">
      <c r="A519" s="37" t="str">
        <f aca="false">'Assumptions &amp; Data'!A653</f>
        <v>SM0449</v>
      </c>
      <c r="B519" s="37" t="str">
        <f aca="false">'Assumptions &amp; Data'!B653</f>
        <v>DS038</v>
      </c>
      <c r="C519" s="38" t="n">
        <f aca="false">'Assumptions &amp; Data'!C653</f>
        <v>46054</v>
      </c>
      <c r="D519" s="39" t="str">
        <f aca="false">INDEX('Assumptions &amp; Data'!$B$142:$B$201,MATCH(B519,'Assumptions &amp; Data'!$A$142:$A$201,0))</f>
        <v>Bengaluru</v>
      </c>
      <c r="E519" s="37" t="n">
        <f aca="false">'Assumptions &amp; Data'!D653</f>
        <v>2714</v>
      </c>
      <c r="F519" s="39" t="n">
        <f aca="false">E519*'Assumptions &amp; Data'!E653</f>
        <v>1855019</v>
      </c>
      <c r="G519" s="39" t="n">
        <f aca="false">F519*'Assumptions &amp; Data'!F653</f>
        <v>151740.5542</v>
      </c>
      <c r="H519" s="39" t="n">
        <f aca="false">F519-G519</f>
        <v>1703278.4458</v>
      </c>
      <c r="I519" s="39" t="n">
        <f aca="false">H519*'Assumptions &amp; Data'!G653</f>
        <v>282403.56631364</v>
      </c>
      <c r="J519" s="39" t="n">
        <f aca="false">E519*'Assumptions &amp; Data'!H653</f>
        <v>33707.88</v>
      </c>
      <c r="K519" s="39" t="n">
        <f aca="false">H519*'Assumptions &amp; Data'!I653</f>
        <v>29637.04495692</v>
      </c>
      <c r="L519" s="39" t="n">
        <f aca="false">H519*'Assumptions &amp; Data'!J653</f>
        <v>61829.00758254</v>
      </c>
      <c r="M519" s="39" t="n">
        <f aca="false">I519+J519+K519-L519</f>
        <v>283919.48368802</v>
      </c>
      <c r="N519" s="39" t="n">
        <f aca="false">E519*'Assumptions &amp; Data'!N653</f>
        <v>132497.48</v>
      </c>
      <c r="O519" s="39" t="n">
        <f aca="false">E519*'Assumptions &amp; Data'!O653</f>
        <v>29039.8</v>
      </c>
      <c r="P519" s="39" t="n">
        <f aca="false">H519*'Assumptions &amp; Data'!P653</f>
        <v>17032.784458</v>
      </c>
      <c r="Q519" s="39" t="n">
        <f aca="false">M519-N519-O519-P519</f>
        <v>105349.41923002</v>
      </c>
      <c r="R519" s="39" t="n">
        <f aca="false">'Assumptions &amp; Data'!L653*'Assumptions &amp; Data'!M653</f>
        <v>353280</v>
      </c>
      <c r="S519" s="37" t="n">
        <f aca="false">'Assumptions &amp; Data'!Q653</f>
        <v>735000</v>
      </c>
      <c r="T519" s="37" t="n">
        <f aca="false">'Assumptions &amp; Data'!R653</f>
        <v>186711</v>
      </c>
      <c r="U519" s="37" t="n">
        <f aca="false">'Assumptions &amp; Data'!S653</f>
        <v>59022</v>
      </c>
      <c r="V519" s="39" t="n">
        <f aca="false">Q519-R519-S519-T519-U519</f>
        <v>-1228663.58076998</v>
      </c>
      <c r="W519" s="39" t="n">
        <f aca="false">DAY(EOMONTH(C519,0))</f>
        <v>28</v>
      </c>
      <c r="X519" s="40" t="n">
        <f aca="false">E519/W519</f>
        <v>96.9285714285714</v>
      </c>
      <c r="Y519" s="39" t="n">
        <f aca="false">R519+S519+T519+U519</f>
        <v>1334013</v>
      </c>
    </row>
    <row r="520" customFormat="false" ht="15" hidden="false" customHeight="false" outlineLevel="0" collapsed="false">
      <c r="A520" s="37" t="str">
        <f aca="false">'Assumptions &amp; Data'!A654</f>
        <v>SM0450</v>
      </c>
      <c r="B520" s="37" t="str">
        <f aca="false">'Assumptions &amp; Data'!B654</f>
        <v>DS038</v>
      </c>
      <c r="C520" s="38" t="n">
        <f aca="false">'Assumptions &amp; Data'!C654</f>
        <v>46082</v>
      </c>
      <c r="D520" s="39" t="str">
        <f aca="false">INDEX('Assumptions &amp; Data'!$B$142:$B$201,MATCH(B520,'Assumptions &amp; Data'!$A$142:$A$201,0))</f>
        <v>Bengaluru</v>
      </c>
      <c r="E520" s="37" t="n">
        <f aca="false">'Assumptions &amp; Data'!D654</f>
        <v>3286</v>
      </c>
      <c r="F520" s="39" t="n">
        <f aca="false">E520*'Assumptions &amp; Data'!E654</f>
        <v>2204906</v>
      </c>
      <c r="G520" s="39" t="n">
        <f aca="false">F520*'Assumptions &amp; Data'!F654</f>
        <v>180581.8014</v>
      </c>
      <c r="H520" s="39" t="n">
        <f aca="false">F520-G520</f>
        <v>2024324.1986</v>
      </c>
      <c r="I520" s="39" t="n">
        <f aca="false">H520*'Assumptions &amp; Data'!G654</f>
        <v>339884.03294494</v>
      </c>
      <c r="J520" s="39" t="n">
        <f aca="false">E520*'Assumptions &amp; Data'!H654</f>
        <v>42750.86</v>
      </c>
      <c r="K520" s="39" t="n">
        <f aca="false">H520*'Assumptions &amp; Data'!I654</f>
        <v>34413.5113762</v>
      </c>
      <c r="L520" s="39" t="n">
        <f aca="false">H520*'Assumptions &amp; Data'!J654</f>
        <v>73280.53598932</v>
      </c>
      <c r="M520" s="39" t="n">
        <f aca="false">I520+J520+K520-L520</f>
        <v>343767.86833182</v>
      </c>
      <c r="N520" s="39" t="n">
        <f aca="false">E520*'Assumptions &amp; Data'!N654</f>
        <v>158155.18</v>
      </c>
      <c r="O520" s="39" t="n">
        <f aca="false">E520*'Assumptions &amp; Data'!O654</f>
        <v>34207.26</v>
      </c>
      <c r="P520" s="39" t="n">
        <f aca="false">H520*'Assumptions &amp; Data'!P654</f>
        <v>21052.97166544</v>
      </c>
      <c r="Q520" s="39" t="n">
        <f aca="false">M520-N520-O520-P520</f>
        <v>130352.45666638</v>
      </c>
      <c r="R520" s="39" t="n">
        <f aca="false">'Assumptions &amp; Data'!L654*'Assumptions &amp; Data'!M654</f>
        <v>353600</v>
      </c>
      <c r="S520" s="37" t="n">
        <f aca="false">'Assumptions &amp; Data'!Q654</f>
        <v>735000</v>
      </c>
      <c r="T520" s="37" t="n">
        <f aca="false">'Assumptions &amp; Data'!R654</f>
        <v>197017</v>
      </c>
      <c r="U520" s="37" t="n">
        <f aca="false">'Assumptions &amp; Data'!S654</f>
        <v>68558</v>
      </c>
      <c r="V520" s="39" t="n">
        <f aca="false">Q520-R520-S520-T520-U520</f>
        <v>-1223822.54333362</v>
      </c>
      <c r="W520" s="39" t="n">
        <f aca="false">DAY(EOMONTH(C520,0))</f>
        <v>31</v>
      </c>
      <c r="X520" s="40" t="n">
        <f aca="false">E520/W520</f>
        <v>106</v>
      </c>
      <c r="Y520" s="39" t="n">
        <f aca="false">R520+S520+T520+U520</f>
        <v>1354175</v>
      </c>
    </row>
    <row r="521" customFormat="false" ht="15" hidden="false" customHeight="false" outlineLevel="0" collapsed="false">
      <c r="A521" s="37" t="str">
        <f aca="false">'Assumptions &amp; Data'!A655</f>
        <v>SM0451</v>
      </c>
      <c r="B521" s="37" t="str">
        <f aca="false">'Assumptions &amp; Data'!B655</f>
        <v>DS038</v>
      </c>
      <c r="C521" s="38" t="n">
        <f aca="false">'Assumptions &amp; Data'!C655</f>
        <v>46113</v>
      </c>
      <c r="D521" s="39" t="str">
        <f aca="false">INDEX('Assumptions &amp; Data'!$B$142:$B$201,MATCH(B521,'Assumptions &amp; Data'!$A$142:$A$201,0))</f>
        <v>Bengaluru</v>
      </c>
      <c r="E521" s="37" t="n">
        <f aca="false">'Assumptions &amp; Data'!D655</f>
        <v>3092</v>
      </c>
      <c r="F521" s="39" t="n">
        <f aca="false">E521*'Assumptions &amp; Data'!E655</f>
        <v>2032371.6</v>
      </c>
      <c r="G521" s="39" t="n">
        <f aca="false">F521*'Assumptions &amp; Data'!F655</f>
        <v>164622.0996</v>
      </c>
      <c r="H521" s="39" t="n">
        <f aca="false">F521-G521</f>
        <v>1867749.5004</v>
      </c>
      <c r="I521" s="39" t="n">
        <f aca="false">H521*'Assumptions &amp; Data'!G655</f>
        <v>305377.0433154</v>
      </c>
      <c r="J521" s="39" t="n">
        <f aca="false">E521*'Assumptions &amp; Data'!H655</f>
        <v>40567.04</v>
      </c>
      <c r="K521" s="39" t="n">
        <f aca="false">H521*'Assumptions &amp; Data'!I655</f>
        <v>30070.76695644</v>
      </c>
      <c r="L521" s="39" t="n">
        <f aca="false">H521*'Assumptions &amp; Data'!J655</f>
        <v>64624.13271384</v>
      </c>
      <c r="M521" s="39" t="n">
        <f aca="false">I521+J521+K521-L521</f>
        <v>311390.717558</v>
      </c>
      <c r="N521" s="39" t="n">
        <f aca="false">E521*'Assumptions &amp; Data'!N655</f>
        <v>150023.84</v>
      </c>
      <c r="O521" s="39" t="n">
        <f aca="false">E521*'Assumptions &amp; Data'!O655</f>
        <v>31538.4</v>
      </c>
      <c r="P521" s="39" t="n">
        <f aca="false">H521*'Assumptions &amp; Data'!P655</f>
        <v>18864.26995404</v>
      </c>
      <c r="Q521" s="39" t="n">
        <f aca="false">M521-N521-O521-P521</f>
        <v>110964.20760396</v>
      </c>
      <c r="R521" s="39" t="n">
        <f aca="false">'Assumptions &amp; Data'!L655*'Assumptions &amp; Data'!M655</f>
        <v>353920</v>
      </c>
      <c r="S521" s="37" t="n">
        <f aca="false">'Assumptions &amp; Data'!Q655</f>
        <v>735000</v>
      </c>
      <c r="T521" s="37" t="n">
        <f aca="false">'Assumptions &amp; Data'!R655</f>
        <v>197648</v>
      </c>
      <c r="U521" s="37" t="n">
        <f aca="false">'Assumptions &amp; Data'!S655</f>
        <v>62706</v>
      </c>
      <c r="V521" s="39" t="n">
        <f aca="false">Q521-R521-S521-T521-U521</f>
        <v>-1238309.79239604</v>
      </c>
      <c r="W521" s="39" t="n">
        <f aca="false">DAY(EOMONTH(C521,0))</f>
        <v>30</v>
      </c>
      <c r="X521" s="40" t="n">
        <f aca="false">E521/W521</f>
        <v>103.066666666667</v>
      </c>
      <c r="Y521" s="39" t="n">
        <f aca="false">R521+S521+T521+U521</f>
        <v>1349274</v>
      </c>
    </row>
    <row r="522" customFormat="false" ht="15" hidden="false" customHeight="false" outlineLevel="0" collapsed="false">
      <c r="A522" s="37" t="str">
        <f aca="false">'Assumptions &amp; Data'!A656</f>
        <v>SM0452</v>
      </c>
      <c r="B522" s="37" t="str">
        <f aca="false">'Assumptions &amp; Data'!B656</f>
        <v>DS038</v>
      </c>
      <c r="C522" s="38" t="n">
        <f aca="false">'Assumptions &amp; Data'!C656</f>
        <v>46143</v>
      </c>
      <c r="D522" s="39" t="str">
        <f aca="false">INDEX('Assumptions &amp; Data'!$B$142:$B$201,MATCH(B522,'Assumptions &amp; Data'!$A$142:$A$201,0))</f>
        <v>Bengaluru</v>
      </c>
      <c r="E522" s="37" t="n">
        <f aca="false">'Assumptions &amp; Data'!D656</f>
        <v>3514</v>
      </c>
      <c r="F522" s="39" t="n">
        <f aca="false">E522*'Assumptions &amp; Data'!E656</f>
        <v>2382843.4</v>
      </c>
      <c r="G522" s="39" t="n">
        <f aca="false">F522*'Assumptions &amp; Data'!F656</f>
        <v>207069.09146</v>
      </c>
      <c r="H522" s="39" t="n">
        <f aca="false">F522-G522</f>
        <v>2175774.30854</v>
      </c>
      <c r="I522" s="39" t="n">
        <f aca="false">H522*'Assumptions &amp; Data'!G656</f>
        <v>363136.732095326</v>
      </c>
      <c r="J522" s="39" t="n">
        <f aca="false">E522*'Assumptions &amp; Data'!H656</f>
        <v>46279.38</v>
      </c>
      <c r="K522" s="39" t="n">
        <f aca="false">H522*'Assumptions &amp; Data'!I656</f>
        <v>41122.134431406</v>
      </c>
      <c r="L522" s="39" t="n">
        <f aca="false">H522*'Assumptions &amp; Data'!J656</f>
        <v>75064.21364463</v>
      </c>
      <c r="M522" s="39" t="n">
        <f aca="false">I522+J522+K522-L522</f>
        <v>375474.032882102</v>
      </c>
      <c r="N522" s="39" t="n">
        <f aca="false">E522*'Assumptions &amp; Data'!N656</f>
        <v>169480.22</v>
      </c>
      <c r="O522" s="39" t="n">
        <f aca="false">E522*'Assumptions &amp; Data'!O656</f>
        <v>36510.46</v>
      </c>
      <c r="P522" s="39" t="n">
        <f aca="false">H522*'Assumptions &amp; Data'!P656</f>
        <v>21757.7430854</v>
      </c>
      <c r="Q522" s="39" t="n">
        <f aca="false">M522-N522-O522-P522</f>
        <v>147725.609796702</v>
      </c>
      <c r="R522" s="39" t="n">
        <f aca="false">'Assumptions &amp; Data'!L656*'Assumptions &amp; Data'!M656</f>
        <v>354240</v>
      </c>
      <c r="S522" s="37" t="n">
        <f aca="false">'Assumptions &amp; Data'!Q656</f>
        <v>735000</v>
      </c>
      <c r="T522" s="37" t="n">
        <f aca="false">'Assumptions &amp; Data'!R656</f>
        <v>199087</v>
      </c>
      <c r="U522" s="37" t="n">
        <f aca="false">'Assumptions &amp; Data'!S656</f>
        <v>72010</v>
      </c>
      <c r="V522" s="39" t="n">
        <f aca="false">Q522-R522-S522-T522-U522</f>
        <v>-1212611.3902033</v>
      </c>
      <c r="W522" s="39" t="n">
        <f aca="false">DAY(EOMONTH(C522,0))</f>
        <v>31</v>
      </c>
      <c r="X522" s="40" t="n">
        <f aca="false">E522/W522</f>
        <v>113.354838709677</v>
      </c>
      <c r="Y522" s="39" t="n">
        <f aca="false">R522+S522+T522+U522</f>
        <v>1360337</v>
      </c>
    </row>
    <row r="523" customFormat="false" ht="15" hidden="false" customHeight="false" outlineLevel="0" collapsed="false">
      <c r="A523" s="37" t="str">
        <f aca="false">'Assumptions &amp; Data'!A657</f>
        <v>SM0453</v>
      </c>
      <c r="B523" s="37" t="str">
        <f aca="false">'Assumptions &amp; Data'!B657</f>
        <v>DS038</v>
      </c>
      <c r="C523" s="38" t="n">
        <f aca="false">'Assumptions &amp; Data'!C657</f>
        <v>46174</v>
      </c>
      <c r="D523" s="39" t="str">
        <f aca="false">INDEX('Assumptions &amp; Data'!$B$142:$B$201,MATCH(B523,'Assumptions &amp; Data'!$A$142:$A$201,0))</f>
        <v>Bengaluru</v>
      </c>
      <c r="E523" s="37" t="n">
        <f aca="false">'Assumptions &amp; Data'!D657</f>
        <v>6263</v>
      </c>
      <c r="F523" s="39" t="n">
        <f aca="false">E523*'Assumptions &amp; Data'!E657</f>
        <v>4154247.9</v>
      </c>
      <c r="G523" s="39" t="n">
        <f aca="false">F523*'Assumptions &amp; Data'!F657</f>
        <v>321538.78746</v>
      </c>
      <c r="H523" s="39" t="n">
        <f aca="false">F523-G523</f>
        <v>3832709.11254</v>
      </c>
      <c r="I523" s="39" t="n">
        <f aca="false">H523*'Assumptions &amp; Data'!G657</f>
        <v>646194.756374244</v>
      </c>
      <c r="J523" s="39" t="n">
        <f aca="false">E523*'Assumptions &amp; Data'!H657</f>
        <v>80980.59</v>
      </c>
      <c r="K523" s="39" t="n">
        <f aca="false">H523*'Assumptions &amp; Data'!I657</f>
        <v>66689.138558196</v>
      </c>
      <c r="L523" s="39" t="n">
        <f aca="false">H523*'Assumptions &amp; Data'!J657</f>
        <v>129545.568003852</v>
      </c>
      <c r="M523" s="39" t="n">
        <f aca="false">I523+J523+K523-L523</f>
        <v>664318.916928588</v>
      </c>
      <c r="N523" s="39" t="n">
        <f aca="false">E523*'Assumptions &amp; Data'!N657</f>
        <v>292669.99</v>
      </c>
      <c r="O523" s="39" t="n">
        <f aca="false">E523*'Assumptions &amp; Data'!O657</f>
        <v>66700.95</v>
      </c>
      <c r="P523" s="39" t="n">
        <f aca="false">H523*'Assumptions &amp; Data'!P657</f>
        <v>38327.0911254</v>
      </c>
      <c r="Q523" s="39" t="n">
        <f aca="false">M523-N523-O523-P523</f>
        <v>266620.885803188</v>
      </c>
      <c r="R523" s="39" t="n">
        <f aca="false">'Assumptions &amp; Data'!L657*'Assumptions &amp; Data'!M657</f>
        <v>354560</v>
      </c>
      <c r="S523" s="37" t="n">
        <f aca="false">'Assumptions &amp; Data'!Q657</f>
        <v>735000</v>
      </c>
      <c r="T523" s="37" t="n">
        <f aca="false">'Assumptions &amp; Data'!R657</f>
        <v>180786</v>
      </c>
      <c r="U523" s="37" t="n">
        <f aca="false">'Assumptions &amp; Data'!S657</f>
        <v>116916</v>
      </c>
      <c r="V523" s="39" t="n">
        <f aca="false">Q523-R523-S523-T523-U523</f>
        <v>-1120641.11419681</v>
      </c>
      <c r="W523" s="39" t="n">
        <f aca="false">DAY(EOMONTH(C523,0))</f>
        <v>30</v>
      </c>
      <c r="X523" s="40" t="n">
        <f aca="false">E523/W523</f>
        <v>208.766666666667</v>
      </c>
      <c r="Y523" s="39" t="n">
        <f aca="false">R523+S523+T523+U523</f>
        <v>1387262</v>
      </c>
    </row>
    <row r="524" customFormat="false" ht="15" hidden="false" customHeight="false" outlineLevel="0" collapsed="false">
      <c r="A524" s="37" t="str">
        <f aca="false">'Assumptions &amp; Data'!A658</f>
        <v>SM0454</v>
      </c>
      <c r="B524" s="37" t="str">
        <f aca="false">'Assumptions &amp; Data'!B658</f>
        <v>DS038</v>
      </c>
      <c r="C524" s="38" t="n">
        <f aca="false">'Assumptions &amp; Data'!C658</f>
        <v>46204</v>
      </c>
      <c r="D524" s="39" t="str">
        <f aca="false">INDEX('Assumptions &amp; Data'!$B$142:$B$201,MATCH(B524,'Assumptions &amp; Data'!$A$142:$A$201,0))</f>
        <v>Bengaluru</v>
      </c>
      <c r="E524" s="37" t="n">
        <f aca="false">'Assumptions &amp; Data'!D658</f>
        <v>8403</v>
      </c>
      <c r="F524" s="39" t="n">
        <f aca="false">E524*'Assumptions &amp; Data'!E658</f>
        <v>5576230.8</v>
      </c>
      <c r="G524" s="39" t="n">
        <f aca="false">F524*'Assumptions &amp; Data'!F658</f>
        <v>400930.99452</v>
      </c>
      <c r="H524" s="39" t="n">
        <f aca="false">F524-G524</f>
        <v>5175299.80548</v>
      </c>
      <c r="I524" s="39" t="n">
        <f aca="false">H524*'Assumptions &amp; Data'!G658</f>
        <v>855994.587826392</v>
      </c>
      <c r="J524" s="39" t="n">
        <f aca="false">E524*'Assumptions &amp; Data'!H658</f>
        <v>108398.7</v>
      </c>
      <c r="K524" s="39" t="n">
        <f aca="false">H524*'Assumptions &amp; Data'!I658</f>
        <v>96260.576381928</v>
      </c>
      <c r="L524" s="39" t="n">
        <f aca="false">H524*'Assumptions &amp; Data'!J658</f>
        <v>165092.063794812</v>
      </c>
      <c r="M524" s="39" t="n">
        <f aca="false">I524+J524+K524-L524</f>
        <v>895561.800413508</v>
      </c>
      <c r="N524" s="39" t="n">
        <f aca="false">E524*'Assumptions &amp; Data'!N658</f>
        <v>389731.14</v>
      </c>
      <c r="O524" s="39" t="n">
        <f aca="false">E524*'Assumptions &amp; Data'!O658</f>
        <v>87223.14</v>
      </c>
      <c r="P524" s="39" t="n">
        <f aca="false">H524*'Assumptions &amp; Data'!P658</f>
        <v>50717.938093704</v>
      </c>
      <c r="Q524" s="39" t="n">
        <f aca="false">M524-N524-O524-P524</f>
        <v>367889.582319804</v>
      </c>
      <c r="R524" s="39" t="n">
        <f aca="false">'Assumptions &amp; Data'!L658*'Assumptions &amp; Data'!M658</f>
        <v>354880</v>
      </c>
      <c r="S524" s="37" t="n">
        <f aca="false">'Assumptions &amp; Data'!Q658</f>
        <v>735000</v>
      </c>
      <c r="T524" s="37" t="n">
        <f aca="false">'Assumptions &amp; Data'!R658</f>
        <v>185135</v>
      </c>
      <c r="U524" s="37" t="n">
        <f aca="false">'Assumptions &amp; Data'!S658</f>
        <v>144520</v>
      </c>
      <c r="V524" s="39" t="n">
        <f aca="false">Q524-R524-S524-T524-U524</f>
        <v>-1051645.4176802</v>
      </c>
      <c r="W524" s="39" t="n">
        <f aca="false">DAY(EOMONTH(C524,0))</f>
        <v>31</v>
      </c>
      <c r="X524" s="40" t="n">
        <f aca="false">E524/W524</f>
        <v>271.064516129032</v>
      </c>
      <c r="Y524" s="39" t="n">
        <f aca="false">R524+S524+T524+U524</f>
        <v>1419535</v>
      </c>
    </row>
    <row r="525" customFormat="false" ht="15" hidden="false" customHeight="false" outlineLevel="0" collapsed="false">
      <c r="A525" s="37" t="str">
        <f aca="false">'Assumptions &amp; Data'!A659</f>
        <v>SM0455</v>
      </c>
      <c r="B525" s="37" t="str">
        <f aca="false">'Assumptions &amp; Data'!B659</f>
        <v>DS038</v>
      </c>
      <c r="C525" s="38" t="n">
        <f aca="false">'Assumptions &amp; Data'!C659</f>
        <v>46235</v>
      </c>
      <c r="D525" s="39" t="str">
        <f aca="false">INDEX('Assumptions &amp; Data'!$B$142:$B$201,MATCH(B525,'Assumptions &amp; Data'!$A$142:$A$201,0))</f>
        <v>Bengaluru</v>
      </c>
      <c r="E525" s="37" t="n">
        <f aca="false">'Assumptions &amp; Data'!D659</f>
        <v>11491</v>
      </c>
      <c r="F525" s="39" t="n">
        <f aca="false">E525*'Assumptions &amp; Data'!E659</f>
        <v>7623129.4</v>
      </c>
      <c r="G525" s="39" t="n">
        <f aca="false">F525*'Assumptions &amp; Data'!F659</f>
        <v>538192.93564</v>
      </c>
      <c r="H525" s="39" t="n">
        <f aca="false">F525-G525</f>
        <v>7084936.46436</v>
      </c>
      <c r="I525" s="39" t="n">
        <f aca="false">H525*'Assumptions &amp; Data'!G659</f>
        <v>1171139.99755871</v>
      </c>
      <c r="J525" s="39" t="n">
        <f aca="false">E525*'Assumptions &amp; Data'!H659</f>
        <v>145246.24</v>
      </c>
      <c r="K525" s="39" t="n">
        <f aca="false">H525*'Assumptions &amp; Data'!I659</f>
        <v>136739.273762148</v>
      </c>
      <c r="L525" s="39" t="n">
        <f aca="false">H525*'Assumptions &amp; Data'!J659</f>
        <v>218216.043102288</v>
      </c>
      <c r="M525" s="39" t="n">
        <f aca="false">I525+J525+K525-L525</f>
        <v>1234909.46821857</v>
      </c>
      <c r="N525" s="39" t="n">
        <f aca="false">E525*'Assumptions &amp; Data'!N659</f>
        <v>523874.69</v>
      </c>
      <c r="O525" s="39" t="n">
        <f aca="false">E525*'Assumptions &amp; Data'!O659</f>
        <v>124217.71</v>
      </c>
      <c r="P525" s="39" t="n">
        <f aca="false">H525*'Assumptions &amp; Data'!P659</f>
        <v>70140.870997164</v>
      </c>
      <c r="Q525" s="39" t="n">
        <f aca="false">M525-N525-O525-P525</f>
        <v>516676.197221404</v>
      </c>
      <c r="R525" s="39" t="n">
        <f aca="false">'Assumptions &amp; Data'!L659*'Assumptions &amp; Data'!M659</f>
        <v>355200</v>
      </c>
      <c r="S525" s="37" t="n">
        <f aca="false">'Assumptions &amp; Data'!Q659</f>
        <v>735000</v>
      </c>
      <c r="T525" s="37" t="n">
        <f aca="false">'Assumptions &amp; Data'!R659</f>
        <v>197606</v>
      </c>
      <c r="U525" s="37" t="n">
        <f aca="false">'Assumptions &amp; Data'!S659</f>
        <v>183387</v>
      </c>
      <c r="V525" s="39" t="n">
        <f aca="false">Q525-R525-S525-T525-U525</f>
        <v>-954516.802778596</v>
      </c>
      <c r="W525" s="39" t="n">
        <f aca="false">DAY(EOMONTH(C525,0))</f>
        <v>31</v>
      </c>
      <c r="X525" s="40" t="n">
        <f aca="false">E525/W525</f>
        <v>370.677419354839</v>
      </c>
      <c r="Y525" s="39" t="n">
        <f aca="false">R525+S525+T525+U525</f>
        <v>1471193</v>
      </c>
    </row>
    <row r="526" customFormat="false" ht="15" hidden="false" customHeight="false" outlineLevel="0" collapsed="false">
      <c r="A526" s="37" t="str">
        <f aca="false">'Assumptions &amp; Data'!A660</f>
        <v>SM0456</v>
      </c>
      <c r="B526" s="37" t="str">
        <f aca="false">'Assumptions &amp; Data'!B660</f>
        <v>DS038</v>
      </c>
      <c r="C526" s="38" t="n">
        <f aca="false">'Assumptions &amp; Data'!C660</f>
        <v>46266</v>
      </c>
      <c r="D526" s="39" t="str">
        <f aca="false">INDEX('Assumptions &amp; Data'!$B$142:$B$201,MATCH(B526,'Assumptions &amp; Data'!$A$142:$A$201,0))</f>
        <v>Bengaluru</v>
      </c>
      <c r="E526" s="37" t="n">
        <f aca="false">'Assumptions &amp; Data'!D660</f>
        <v>13415</v>
      </c>
      <c r="F526" s="39" t="n">
        <f aca="false">E526*'Assumptions &amp; Data'!E660</f>
        <v>8945122</v>
      </c>
      <c r="G526" s="39" t="n">
        <f aca="false">F526*'Assumptions &amp; Data'!F660</f>
        <v>617213.418</v>
      </c>
      <c r="H526" s="39" t="n">
        <f aca="false">F526-G526</f>
        <v>8327908.582</v>
      </c>
      <c r="I526" s="39" t="n">
        <f aca="false">H526*'Assumptions &amp; Data'!G660</f>
        <v>1374937.7068882</v>
      </c>
      <c r="J526" s="39" t="n">
        <f aca="false">E526*'Assumptions &amp; Data'!H660</f>
        <v>165541.1</v>
      </c>
      <c r="K526" s="39" t="n">
        <f aca="false">H526*'Assumptions &amp; Data'!I660</f>
        <v>169889.3350728</v>
      </c>
      <c r="L526" s="39" t="n">
        <f aca="false">H526*'Assumptions &amp; Data'!J660</f>
        <v>238178.1854452</v>
      </c>
      <c r="M526" s="39" t="n">
        <f aca="false">I526+J526+K526-L526</f>
        <v>1472189.9565158</v>
      </c>
      <c r="N526" s="39" t="n">
        <f aca="false">E526*'Assumptions &amp; Data'!N660</f>
        <v>601796.9</v>
      </c>
      <c r="O526" s="39" t="n">
        <f aca="false">E526*'Assumptions &amp; Data'!O660</f>
        <v>146089.35</v>
      </c>
      <c r="P526" s="39" t="n">
        <f aca="false">H526*'Assumptions &amp; Data'!P660</f>
        <v>84111.8766782</v>
      </c>
      <c r="Q526" s="39" t="n">
        <f aca="false">M526-N526-O526-P526</f>
        <v>640191.8298376</v>
      </c>
      <c r="R526" s="39" t="n">
        <f aca="false">'Assumptions &amp; Data'!L660*'Assumptions &amp; Data'!M660</f>
        <v>355520</v>
      </c>
      <c r="S526" s="37" t="n">
        <f aca="false">'Assumptions &amp; Data'!Q660</f>
        <v>735000</v>
      </c>
      <c r="T526" s="37" t="n">
        <f aca="false">'Assumptions &amp; Data'!R660</f>
        <v>189040</v>
      </c>
      <c r="U526" s="37" t="n">
        <f aca="false">'Assumptions &amp; Data'!S660</f>
        <v>195159</v>
      </c>
      <c r="V526" s="39" t="n">
        <f aca="false">Q526-R526-S526-T526-U526</f>
        <v>-834527.1701624</v>
      </c>
      <c r="W526" s="39" t="n">
        <f aca="false">DAY(EOMONTH(C526,0))</f>
        <v>30</v>
      </c>
      <c r="X526" s="40" t="n">
        <f aca="false">E526/W526</f>
        <v>447.166666666667</v>
      </c>
      <c r="Y526" s="39" t="n">
        <f aca="false">R526+S526+T526+U526</f>
        <v>1474719</v>
      </c>
    </row>
    <row r="527" customFormat="false" ht="15" hidden="false" customHeight="false" outlineLevel="0" collapsed="false">
      <c r="A527" s="37" t="str">
        <f aca="false">'Assumptions &amp; Data'!A661</f>
        <v>SM0457</v>
      </c>
      <c r="B527" s="37" t="str">
        <f aca="false">'Assumptions &amp; Data'!B661</f>
        <v>DS039</v>
      </c>
      <c r="C527" s="38" t="n">
        <f aca="false">'Assumptions &amp; Data'!C661</f>
        <v>45931</v>
      </c>
      <c r="D527" s="39" t="str">
        <f aca="false">INDEX('Assumptions &amp; Data'!$B$142:$B$201,MATCH(B527,'Assumptions &amp; Data'!$A$142:$A$201,0))</f>
        <v>Hyderabad</v>
      </c>
      <c r="E527" s="37" t="n">
        <f aca="false">'Assumptions &amp; Data'!D661</f>
        <v>37603</v>
      </c>
      <c r="F527" s="39" t="n">
        <f aca="false">E527*'Assumptions &amp; Data'!E661</f>
        <v>23528197.1</v>
      </c>
      <c r="G527" s="39" t="n">
        <f aca="false">F527*'Assumptions &amp; Data'!F661</f>
        <v>1223466.2492</v>
      </c>
      <c r="H527" s="39" t="n">
        <f aca="false">F527-G527</f>
        <v>22304730.8508</v>
      </c>
      <c r="I527" s="39" t="n">
        <f aca="false">H527*'Assumptions &amp; Data'!G661</f>
        <v>3622288.29016992</v>
      </c>
      <c r="J527" s="39" t="n">
        <f aca="false">E527*'Assumptions &amp; Data'!H661</f>
        <v>506888.44</v>
      </c>
      <c r="K527" s="39" t="n">
        <f aca="false">H527*'Assumptions &amp; Data'!I661</f>
        <v>693677.12945988</v>
      </c>
      <c r="L527" s="39" t="n">
        <f aca="false">H527*'Assumptions &amp; Data'!J661</f>
        <v>843118.82616024</v>
      </c>
      <c r="M527" s="39" t="n">
        <f aca="false">I527+J527+K527-L527</f>
        <v>3979735.03346956</v>
      </c>
      <c r="N527" s="39" t="n">
        <f aca="false">E527*'Assumptions &amp; Data'!N661</f>
        <v>1273613.61</v>
      </c>
      <c r="O527" s="39" t="n">
        <f aca="false">E527*'Assumptions &amp; Data'!O661</f>
        <v>377910.15</v>
      </c>
      <c r="P527" s="39" t="n">
        <f aca="false">H527*'Assumptions &amp; Data'!P661</f>
        <v>223047.308508</v>
      </c>
      <c r="Q527" s="39" t="n">
        <f aca="false">M527-N527-O527-P527</f>
        <v>2105163.96496156</v>
      </c>
      <c r="R527" s="39" t="n">
        <f aca="false">'Assumptions &amp; Data'!L661*'Assumptions &amp; Data'!M661</f>
        <v>682500</v>
      </c>
      <c r="S527" s="37" t="n">
        <f aca="false">'Assumptions &amp; Data'!Q661</f>
        <v>475000</v>
      </c>
      <c r="T527" s="37" t="n">
        <f aca="false">'Assumptions &amp; Data'!R661</f>
        <v>190665</v>
      </c>
      <c r="U527" s="37" t="n">
        <f aca="false">'Assumptions &amp; Data'!S661</f>
        <v>176167</v>
      </c>
      <c r="V527" s="39" t="n">
        <f aca="false">Q527-R527-S527-T527-U527</f>
        <v>580831.96496156</v>
      </c>
      <c r="W527" s="39" t="n">
        <f aca="false">DAY(EOMONTH(C527,0))</f>
        <v>31</v>
      </c>
      <c r="X527" s="40" t="n">
        <f aca="false">E527/W527</f>
        <v>1213</v>
      </c>
      <c r="Y527" s="39" t="n">
        <f aca="false">R527+S527+T527+U527</f>
        <v>1524332</v>
      </c>
    </row>
    <row r="528" customFormat="false" ht="15" hidden="false" customHeight="false" outlineLevel="0" collapsed="false">
      <c r="A528" s="37" t="str">
        <f aca="false">'Assumptions &amp; Data'!A662</f>
        <v>SM0458</v>
      </c>
      <c r="B528" s="37" t="str">
        <f aca="false">'Assumptions &amp; Data'!B662</f>
        <v>DS039</v>
      </c>
      <c r="C528" s="38" t="n">
        <f aca="false">'Assumptions &amp; Data'!C662</f>
        <v>45962</v>
      </c>
      <c r="D528" s="39" t="str">
        <f aca="false">INDEX('Assumptions &amp; Data'!$B$142:$B$201,MATCH(B528,'Assumptions &amp; Data'!$A$142:$A$201,0))</f>
        <v>Hyderabad</v>
      </c>
      <c r="E528" s="37" t="n">
        <f aca="false">'Assumptions &amp; Data'!D662</f>
        <v>37249</v>
      </c>
      <c r="F528" s="39" t="n">
        <f aca="false">E528*'Assumptions &amp; Data'!E662</f>
        <v>23690364</v>
      </c>
      <c r="G528" s="39" t="n">
        <f aca="false">F528*'Assumptions &amp; Data'!F662</f>
        <v>1212946.6368</v>
      </c>
      <c r="H528" s="39" t="n">
        <f aca="false">F528-G528</f>
        <v>22477417.3632</v>
      </c>
      <c r="I528" s="39" t="n">
        <f aca="false">H528*'Assumptions &amp; Data'!G662</f>
        <v>3744737.73270912</v>
      </c>
      <c r="J528" s="39" t="n">
        <f aca="false">E528*'Assumptions &amp; Data'!H662</f>
        <v>497646.64</v>
      </c>
      <c r="K528" s="39" t="n">
        <f aca="false">H528*'Assumptions &amp; Data'!I662</f>
        <v>701295.42173184</v>
      </c>
      <c r="L528" s="39" t="n">
        <f aca="false">H528*'Assumptions &amp; Data'!J662</f>
        <v>820425.7337568</v>
      </c>
      <c r="M528" s="39" t="n">
        <f aca="false">I528+J528+K528-L528</f>
        <v>4123254.06068416</v>
      </c>
      <c r="N528" s="39" t="n">
        <f aca="false">E528*'Assumptions &amp; Data'!N662</f>
        <v>1298872.63</v>
      </c>
      <c r="O528" s="39" t="n">
        <f aca="false">E528*'Assumptions &amp; Data'!O662</f>
        <v>372490</v>
      </c>
      <c r="P528" s="39" t="n">
        <f aca="false">H528*'Assumptions &amp; Data'!P662</f>
        <v>233765.14057728</v>
      </c>
      <c r="Q528" s="39" t="n">
        <f aca="false">M528-N528-O528-P528</f>
        <v>2218126.29010688</v>
      </c>
      <c r="R528" s="39" t="n">
        <f aca="false">'Assumptions &amp; Data'!L662*'Assumptions &amp; Data'!M662</f>
        <v>702648</v>
      </c>
      <c r="S528" s="37" t="n">
        <f aca="false">'Assumptions &amp; Data'!Q662</f>
        <v>475000</v>
      </c>
      <c r="T528" s="37" t="n">
        <f aca="false">'Assumptions &amp; Data'!R662</f>
        <v>188732</v>
      </c>
      <c r="U528" s="37" t="n">
        <f aca="false">'Assumptions &amp; Data'!S662</f>
        <v>167255</v>
      </c>
      <c r="V528" s="39" t="n">
        <f aca="false">Q528-R528-S528-T528-U528</f>
        <v>684491.29010688</v>
      </c>
      <c r="W528" s="39" t="n">
        <f aca="false">DAY(EOMONTH(C528,0))</f>
        <v>30</v>
      </c>
      <c r="X528" s="40" t="n">
        <f aca="false">E528/W528</f>
        <v>1241.63333333333</v>
      </c>
      <c r="Y528" s="39" t="n">
        <f aca="false">R528+S528+T528+U528</f>
        <v>1533635</v>
      </c>
    </row>
    <row r="529" customFormat="false" ht="15" hidden="false" customHeight="false" outlineLevel="0" collapsed="false">
      <c r="A529" s="37" t="str">
        <f aca="false">'Assumptions &amp; Data'!A663</f>
        <v>SM0459</v>
      </c>
      <c r="B529" s="37" t="str">
        <f aca="false">'Assumptions &amp; Data'!B663</f>
        <v>DS039</v>
      </c>
      <c r="C529" s="38" t="n">
        <f aca="false">'Assumptions &amp; Data'!C663</f>
        <v>45992</v>
      </c>
      <c r="D529" s="39" t="str">
        <f aca="false">INDEX('Assumptions &amp; Data'!$B$142:$B$201,MATCH(B529,'Assumptions &amp; Data'!$A$142:$A$201,0))</f>
        <v>Hyderabad</v>
      </c>
      <c r="E529" s="37" t="n">
        <f aca="false">'Assumptions &amp; Data'!D663</f>
        <v>38258</v>
      </c>
      <c r="F529" s="39" t="n">
        <f aca="false">E529*'Assumptions &amp; Data'!E663</f>
        <v>24247920.4</v>
      </c>
      <c r="G529" s="39" t="n">
        <f aca="false">F529*'Assumptions &amp; Data'!F663</f>
        <v>1222095.18816</v>
      </c>
      <c r="H529" s="39" t="n">
        <f aca="false">F529-G529</f>
        <v>23025825.21184</v>
      </c>
      <c r="I529" s="39" t="n">
        <f aca="false">H529*'Assumptions &amp; Data'!G663</f>
        <v>3815379.23760189</v>
      </c>
      <c r="J529" s="39" t="n">
        <f aca="false">E529*'Assumptions &amp; Data'!H663</f>
        <v>496588.84</v>
      </c>
      <c r="K529" s="39" t="n">
        <f aca="false">H529*'Assumptions &amp; Data'!I663</f>
        <v>706892.834003488</v>
      </c>
      <c r="L529" s="39" t="n">
        <f aca="false">H529*'Assumptions &amp; Data'!J663</f>
        <v>881889.105613472</v>
      </c>
      <c r="M529" s="39" t="n">
        <f aca="false">I529+J529+K529-L529</f>
        <v>4136971.80599191</v>
      </c>
      <c r="N529" s="39" t="n">
        <f aca="false">E529*'Assumptions &amp; Data'!N663</f>
        <v>1275904.3</v>
      </c>
      <c r="O529" s="39" t="n">
        <f aca="false">E529*'Assumptions &amp; Data'!O663</f>
        <v>376458.72</v>
      </c>
      <c r="P529" s="39" t="n">
        <f aca="false">H529*'Assumptions &amp; Data'!P663</f>
        <v>237165.999681952</v>
      </c>
      <c r="Q529" s="39" t="n">
        <f aca="false">M529-N529-O529-P529</f>
        <v>2247442.78630995</v>
      </c>
      <c r="R529" s="39" t="n">
        <f aca="false">'Assumptions &amp; Data'!L663*'Assumptions &amp; Data'!M663</f>
        <v>703260</v>
      </c>
      <c r="S529" s="37" t="n">
        <f aca="false">'Assumptions &amp; Data'!Q663</f>
        <v>475000</v>
      </c>
      <c r="T529" s="37" t="n">
        <f aca="false">'Assumptions &amp; Data'!R663</f>
        <v>194843</v>
      </c>
      <c r="U529" s="37" t="n">
        <f aca="false">'Assumptions &amp; Data'!S663</f>
        <v>156265</v>
      </c>
      <c r="V529" s="39" t="n">
        <f aca="false">Q529-R529-S529-T529-U529</f>
        <v>718074.786309953</v>
      </c>
      <c r="W529" s="39" t="n">
        <f aca="false">DAY(EOMONTH(C529,0))</f>
        <v>31</v>
      </c>
      <c r="X529" s="40" t="n">
        <f aca="false">E529/W529</f>
        <v>1234.12903225806</v>
      </c>
      <c r="Y529" s="39" t="n">
        <f aca="false">R529+S529+T529+U529</f>
        <v>1529368</v>
      </c>
    </row>
    <row r="530" customFormat="false" ht="15" hidden="false" customHeight="false" outlineLevel="0" collapsed="false">
      <c r="A530" s="37" t="str">
        <f aca="false">'Assumptions &amp; Data'!A664</f>
        <v>SM0460</v>
      </c>
      <c r="B530" s="37" t="str">
        <f aca="false">'Assumptions &amp; Data'!B664</f>
        <v>DS039</v>
      </c>
      <c r="C530" s="38" t="n">
        <f aca="false">'Assumptions &amp; Data'!C664</f>
        <v>46023</v>
      </c>
      <c r="D530" s="39" t="str">
        <f aca="false">INDEX('Assumptions &amp; Data'!$B$142:$B$201,MATCH(B530,'Assumptions &amp; Data'!$A$142:$A$201,0))</f>
        <v>Hyderabad</v>
      </c>
      <c r="E530" s="37" t="n">
        <f aca="false">'Assumptions &amp; Data'!D664</f>
        <v>37995</v>
      </c>
      <c r="F530" s="39" t="n">
        <f aca="false">E530*'Assumptions &amp; Data'!E664</f>
        <v>23693682</v>
      </c>
      <c r="G530" s="39" t="n">
        <f aca="false">F530*'Assumptions &amp; Data'!F664</f>
        <v>1279458.828</v>
      </c>
      <c r="H530" s="39" t="n">
        <f aca="false">F530-G530</f>
        <v>22414223.172</v>
      </c>
      <c r="I530" s="39" t="n">
        <f aca="false">H530*'Assumptions &amp; Data'!G664</f>
        <v>3745416.6920412</v>
      </c>
      <c r="J530" s="39" t="n">
        <f aca="false">E530*'Assumptions &amp; Data'!H664</f>
        <v>497354.55</v>
      </c>
      <c r="K530" s="39" t="n">
        <f aca="false">H530*'Assumptions &amp; Data'!I664</f>
        <v>667943.8505256</v>
      </c>
      <c r="L530" s="39" t="n">
        <f aca="false">H530*'Assumptions &amp; Data'!J664</f>
        <v>849499.0582188</v>
      </c>
      <c r="M530" s="39" t="n">
        <f aca="false">I530+J530+K530-L530</f>
        <v>4061216.034348</v>
      </c>
      <c r="N530" s="39" t="n">
        <f aca="false">E530*'Assumptions &amp; Data'!N664</f>
        <v>1296009.45</v>
      </c>
      <c r="O530" s="39" t="n">
        <f aca="false">E530*'Assumptions &amp; Data'!O664</f>
        <v>370071.3</v>
      </c>
      <c r="P530" s="39" t="n">
        <f aca="false">H530*'Assumptions &amp; Data'!P664</f>
        <v>224142.23172</v>
      </c>
      <c r="Q530" s="39" t="n">
        <f aca="false">M530-N530-O530-P530</f>
        <v>2170993.052628</v>
      </c>
      <c r="R530" s="39" t="n">
        <f aca="false">'Assumptions &amp; Data'!L664*'Assumptions &amp; Data'!M664</f>
        <v>684355</v>
      </c>
      <c r="S530" s="37" t="n">
        <f aca="false">'Assumptions &amp; Data'!Q664</f>
        <v>475000</v>
      </c>
      <c r="T530" s="37" t="n">
        <f aca="false">'Assumptions &amp; Data'!R664</f>
        <v>175431</v>
      </c>
      <c r="U530" s="37" t="n">
        <f aca="false">'Assumptions &amp; Data'!S664</f>
        <v>130645</v>
      </c>
      <c r="V530" s="39" t="n">
        <f aca="false">Q530-R530-S530-T530-U530</f>
        <v>705562.052628</v>
      </c>
      <c r="W530" s="39" t="n">
        <f aca="false">DAY(EOMONTH(C530,0))</f>
        <v>31</v>
      </c>
      <c r="X530" s="40" t="n">
        <f aca="false">E530/W530</f>
        <v>1225.64516129032</v>
      </c>
      <c r="Y530" s="39" t="n">
        <f aca="false">R530+S530+T530+U530</f>
        <v>1465431</v>
      </c>
    </row>
    <row r="531" customFormat="false" ht="15" hidden="false" customHeight="false" outlineLevel="0" collapsed="false">
      <c r="A531" s="37" t="str">
        <f aca="false">'Assumptions &amp; Data'!A665</f>
        <v>SM0461</v>
      </c>
      <c r="B531" s="37" t="str">
        <f aca="false">'Assumptions &amp; Data'!B665</f>
        <v>DS039</v>
      </c>
      <c r="C531" s="38" t="n">
        <f aca="false">'Assumptions &amp; Data'!C665</f>
        <v>46054</v>
      </c>
      <c r="D531" s="39" t="str">
        <f aca="false">INDEX('Assumptions &amp; Data'!$B$142:$B$201,MATCH(B531,'Assumptions &amp; Data'!$A$142:$A$201,0))</f>
        <v>Hyderabad</v>
      </c>
      <c r="E531" s="37" t="n">
        <f aca="false">'Assumptions &amp; Data'!D665</f>
        <v>34088</v>
      </c>
      <c r="F531" s="39" t="n">
        <f aca="false">E531*'Assumptions &amp; Data'!E665</f>
        <v>21652697.6</v>
      </c>
      <c r="G531" s="39" t="n">
        <f aca="false">F531*'Assumptions &amp; Data'!F665</f>
        <v>1089130.68928</v>
      </c>
      <c r="H531" s="39" t="n">
        <f aca="false">F531-G531</f>
        <v>20563566.91072</v>
      </c>
      <c r="I531" s="39" t="n">
        <f aca="false">H531*'Assumptions &amp; Data'!G665</f>
        <v>3395044.89695987</v>
      </c>
      <c r="J531" s="39" t="n">
        <f aca="false">E531*'Assumptions &amp; Data'!H665</f>
        <v>453370.4</v>
      </c>
      <c r="K531" s="39" t="n">
        <f aca="false">H531*'Assumptions &amp; Data'!I665</f>
        <v>631301.504159104</v>
      </c>
      <c r="L531" s="39" t="n">
        <f aca="false">H531*'Assumptions &amp; Data'!J665</f>
        <v>762908.332387712</v>
      </c>
      <c r="M531" s="39" t="n">
        <f aca="false">I531+J531+K531-L531</f>
        <v>3716808.46873126</v>
      </c>
      <c r="N531" s="39" t="n">
        <f aca="false">E531*'Assumptions &amp; Data'!N665</f>
        <v>1162400.8</v>
      </c>
      <c r="O531" s="39" t="n">
        <f aca="false">E531*'Assumptions &amp; Data'!O665</f>
        <v>330994.48</v>
      </c>
      <c r="P531" s="39" t="n">
        <f aca="false">H531*'Assumptions &amp; Data'!P665</f>
        <v>207692.025798272</v>
      </c>
      <c r="Q531" s="39" t="n">
        <f aca="false">M531-N531-O531-P531</f>
        <v>2015721.16293299</v>
      </c>
      <c r="R531" s="39" t="n">
        <f aca="false">'Assumptions &amp; Data'!L665*'Assumptions &amp; Data'!M665</f>
        <v>704556</v>
      </c>
      <c r="S531" s="37" t="n">
        <f aca="false">'Assumptions &amp; Data'!Q665</f>
        <v>475000</v>
      </c>
      <c r="T531" s="37" t="n">
        <f aca="false">'Assumptions &amp; Data'!R665</f>
        <v>192710</v>
      </c>
      <c r="U531" s="37" t="n">
        <f aca="false">'Assumptions &amp; Data'!S665</f>
        <v>144479</v>
      </c>
      <c r="V531" s="39" t="n">
        <f aca="false">Q531-R531-S531-T531-U531</f>
        <v>498976.162932993</v>
      </c>
      <c r="W531" s="39" t="n">
        <f aca="false">DAY(EOMONTH(C531,0))</f>
        <v>28</v>
      </c>
      <c r="X531" s="40" t="n">
        <f aca="false">E531/W531</f>
        <v>1217.42857142857</v>
      </c>
      <c r="Y531" s="39" t="n">
        <f aca="false">R531+S531+T531+U531</f>
        <v>1516745</v>
      </c>
    </row>
    <row r="532" customFormat="false" ht="15" hidden="false" customHeight="false" outlineLevel="0" collapsed="false">
      <c r="A532" s="37" t="str">
        <f aca="false">'Assumptions &amp; Data'!A666</f>
        <v>SM0462</v>
      </c>
      <c r="B532" s="37" t="str">
        <f aca="false">'Assumptions &amp; Data'!B666</f>
        <v>DS039</v>
      </c>
      <c r="C532" s="38" t="n">
        <f aca="false">'Assumptions &amp; Data'!C666</f>
        <v>46082</v>
      </c>
      <c r="D532" s="39" t="str">
        <f aca="false">INDEX('Assumptions &amp; Data'!$B$142:$B$201,MATCH(B532,'Assumptions &amp; Data'!$A$142:$A$201,0))</f>
        <v>Hyderabad</v>
      </c>
      <c r="E532" s="37" t="n">
        <f aca="false">'Assumptions &amp; Data'!D666</f>
        <v>37093</v>
      </c>
      <c r="F532" s="39" t="n">
        <f aca="false">E532*'Assumptions &amp; Data'!E666</f>
        <v>23405683</v>
      </c>
      <c r="G532" s="39" t="n">
        <f aca="false">F532*'Assumptions &amp; Data'!F666</f>
        <v>1212414.3794</v>
      </c>
      <c r="H532" s="39" t="n">
        <f aca="false">F532-G532</f>
        <v>22193268.6206</v>
      </c>
      <c r="I532" s="39" t="n">
        <f aca="false">H532*'Assumptions &amp; Data'!G666</f>
        <v>3661889.322399</v>
      </c>
      <c r="J532" s="39" t="n">
        <f aca="false">E532*'Assumptions &amp; Data'!H666</f>
        <v>518560.14</v>
      </c>
      <c r="K532" s="39" t="n">
        <f aca="false">H532*'Assumptions &amp; Data'!I666</f>
        <v>676894.6929283</v>
      </c>
      <c r="L532" s="39" t="n">
        <f aca="false">H532*'Assumptions &amp; Data'!J666</f>
        <v>843344.2075828</v>
      </c>
      <c r="M532" s="39" t="n">
        <f aca="false">I532+J532+K532-L532</f>
        <v>4013999.9477445</v>
      </c>
      <c r="N532" s="39" t="n">
        <f aca="false">E532*'Assumptions &amp; Data'!N666</f>
        <v>1293803.84</v>
      </c>
      <c r="O532" s="39" t="n">
        <f aca="false">E532*'Assumptions &amp; Data'!O666</f>
        <v>356092.8</v>
      </c>
      <c r="P532" s="39" t="n">
        <f aca="false">H532*'Assumptions &amp; Data'!P666</f>
        <v>219713.35934394</v>
      </c>
      <c r="Q532" s="39" t="n">
        <f aca="false">M532-N532-O532-P532</f>
        <v>2144389.94840056</v>
      </c>
      <c r="R532" s="39" t="n">
        <f aca="false">'Assumptions &amp; Data'!L666*'Assumptions &amp; Data'!M666</f>
        <v>666026</v>
      </c>
      <c r="S532" s="37" t="n">
        <f aca="false">'Assumptions &amp; Data'!Q666</f>
        <v>475000</v>
      </c>
      <c r="T532" s="37" t="n">
        <f aca="false">'Assumptions &amp; Data'!R666</f>
        <v>192861</v>
      </c>
      <c r="U532" s="37" t="n">
        <f aca="false">'Assumptions &amp; Data'!S666</f>
        <v>146455</v>
      </c>
      <c r="V532" s="39" t="n">
        <f aca="false">Q532-R532-S532-T532-U532</f>
        <v>664047.948400561</v>
      </c>
      <c r="W532" s="39" t="n">
        <f aca="false">DAY(EOMONTH(C532,0))</f>
        <v>31</v>
      </c>
      <c r="X532" s="40" t="n">
        <f aca="false">E532/W532</f>
        <v>1196.54838709677</v>
      </c>
      <c r="Y532" s="39" t="n">
        <f aca="false">R532+S532+T532+U532</f>
        <v>1480342</v>
      </c>
    </row>
    <row r="533" customFormat="false" ht="15" hidden="false" customHeight="false" outlineLevel="0" collapsed="false">
      <c r="A533" s="37" t="str">
        <f aca="false">'Assumptions &amp; Data'!A667</f>
        <v>SM0463</v>
      </c>
      <c r="B533" s="37" t="str">
        <f aca="false">'Assumptions &amp; Data'!B667</f>
        <v>DS039</v>
      </c>
      <c r="C533" s="38" t="n">
        <f aca="false">'Assumptions &amp; Data'!C667</f>
        <v>46113</v>
      </c>
      <c r="D533" s="39" t="str">
        <f aca="false">INDEX('Assumptions &amp; Data'!$B$142:$B$201,MATCH(B533,'Assumptions &amp; Data'!$A$142:$A$201,0))</f>
        <v>Hyderabad</v>
      </c>
      <c r="E533" s="37" t="n">
        <f aca="false">'Assumptions &amp; Data'!D667</f>
        <v>36891</v>
      </c>
      <c r="F533" s="39" t="n">
        <f aca="false">E533*'Assumptions &amp; Data'!E667</f>
        <v>23720913</v>
      </c>
      <c r="G533" s="39" t="n">
        <f aca="false">F533*'Assumptions &amp; Data'!F667</f>
        <v>1223999.1108</v>
      </c>
      <c r="H533" s="39" t="n">
        <f aca="false">F533-G533</f>
        <v>22496913.8892</v>
      </c>
      <c r="I533" s="39" t="n">
        <f aca="false">H533*'Assumptions &amp; Data'!G667</f>
        <v>3682744.80366204</v>
      </c>
      <c r="J533" s="39" t="n">
        <f aca="false">E533*'Assumptions &amp; Data'!H667</f>
        <v>491388.12</v>
      </c>
      <c r="K533" s="39" t="n">
        <f aca="false">H533*'Assumptions &amp; Data'!I667</f>
        <v>681656.49084276</v>
      </c>
      <c r="L533" s="39" t="n">
        <f aca="false">H533*'Assumptions &amp; Data'!J667</f>
        <v>854882.7277896</v>
      </c>
      <c r="M533" s="39" t="n">
        <f aca="false">I533+J533+K533-L533</f>
        <v>4000906.6867152</v>
      </c>
      <c r="N533" s="39" t="n">
        <f aca="false">E533*'Assumptions &amp; Data'!N667</f>
        <v>1268681.49</v>
      </c>
      <c r="O533" s="39" t="n">
        <f aca="false">E533*'Assumptions &amp; Data'!O667</f>
        <v>354891.42</v>
      </c>
      <c r="P533" s="39" t="n">
        <f aca="false">H533*'Assumptions &amp; Data'!P667</f>
        <v>224969.138892</v>
      </c>
      <c r="Q533" s="39" t="n">
        <f aca="false">M533-N533-O533-P533</f>
        <v>2152364.6378232</v>
      </c>
      <c r="R533" s="39" t="n">
        <f aca="false">'Assumptions &amp; Data'!L667*'Assumptions &amp; Data'!M667</f>
        <v>646998</v>
      </c>
      <c r="S533" s="37" t="n">
        <f aca="false">'Assumptions &amp; Data'!Q667</f>
        <v>475000</v>
      </c>
      <c r="T533" s="37" t="n">
        <f aca="false">'Assumptions &amp; Data'!R667</f>
        <v>186071</v>
      </c>
      <c r="U533" s="37" t="n">
        <f aca="false">'Assumptions &amp; Data'!S667</f>
        <v>139618</v>
      </c>
      <c r="V533" s="39" t="n">
        <f aca="false">Q533-R533-S533-T533-U533</f>
        <v>704677.637823201</v>
      </c>
      <c r="W533" s="39" t="n">
        <f aca="false">DAY(EOMONTH(C533,0))</f>
        <v>30</v>
      </c>
      <c r="X533" s="40" t="n">
        <f aca="false">E533/W533</f>
        <v>1229.7</v>
      </c>
      <c r="Y533" s="39" t="n">
        <f aca="false">R533+S533+T533+U533</f>
        <v>1447687</v>
      </c>
    </row>
    <row r="534" customFormat="false" ht="15" hidden="false" customHeight="false" outlineLevel="0" collapsed="false">
      <c r="A534" s="37" t="str">
        <f aca="false">'Assumptions &amp; Data'!A668</f>
        <v>SM0464</v>
      </c>
      <c r="B534" s="37" t="str">
        <f aca="false">'Assumptions &amp; Data'!B668</f>
        <v>DS039</v>
      </c>
      <c r="C534" s="38" t="n">
        <f aca="false">'Assumptions &amp; Data'!C668</f>
        <v>46143</v>
      </c>
      <c r="D534" s="39" t="str">
        <f aca="false">INDEX('Assumptions &amp; Data'!$B$142:$B$201,MATCH(B534,'Assumptions &amp; Data'!$A$142:$A$201,0))</f>
        <v>Hyderabad</v>
      </c>
      <c r="E534" s="37" t="n">
        <f aca="false">'Assumptions &amp; Data'!D668</f>
        <v>41046</v>
      </c>
      <c r="F534" s="39" t="n">
        <f aca="false">E534*'Assumptions &amp; Data'!E668</f>
        <v>26080628.4</v>
      </c>
      <c r="G534" s="39" t="n">
        <f aca="false">F534*'Assumptions &amp; Data'!F668</f>
        <v>1387489.43088</v>
      </c>
      <c r="H534" s="39" t="n">
        <f aca="false">F534-G534</f>
        <v>24693138.96912</v>
      </c>
      <c r="I534" s="39" t="n">
        <f aca="false">H534*'Assumptions &amp; Data'!G668</f>
        <v>4089183.81328627</v>
      </c>
      <c r="J534" s="39" t="n">
        <f aca="false">E534*'Assumptions &amp; Data'!H668</f>
        <v>546732.72</v>
      </c>
      <c r="K534" s="39" t="n">
        <f aca="false">H534*'Assumptions &amp; Data'!I668</f>
        <v>792649.760908752</v>
      </c>
      <c r="L534" s="39" t="n">
        <f aca="false">H534*'Assumptions &amp; Data'!J668</f>
        <v>943277.908620384</v>
      </c>
      <c r="M534" s="39" t="n">
        <f aca="false">I534+J534+K534-L534</f>
        <v>4485288.38557464</v>
      </c>
      <c r="N534" s="39" t="n">
        <f aca="false">E534*'Assumptions &amp; Data'!N668</f>
        <v>1414034.7</v>
      </c>
      <c r="O534" s="39" t="n">
        <f aca="false">E534*'Assumptions &amp; Data'!O668</f>
        <v>399788.04</v>
      </c>
      <c r="P534" s="39" t="n">
        <f aca="false">H534*'Assumptions &amp; Data'!P668</f>
        <v>239523.448000464</v>
      </c>
      <c r="Q534" s="39" t="n">
        <f aca="false">M534-N534-O534-P534</f>
        <v>2431942.19757418</v>
      </c>
      <c r="R534" s="39" t="n">
        <f aca="false">'Assumptions &amp; Data'!L668*'Assumptions &amp; Data'!M668</f>
        <v>726088</v>
      </c>
      <c r="S534" s="37" t="n">
        <f aca="false">'Assumptions &amp; Data'!Q668</f>
        <v>475000</v>
      </c>
      <c r="T534" s="37" t="n">
        <f aca="false">'Assumptions &amp; Data'!R668</f>
        <v>187606</v>
      </c>
      <c r="U534" s="37" t="n">
        <f aca="false">'Assumptions &amp; Data'!S668</f>
        <v>176030</v>
      </c>
      <c r="V534" s="39" t="n">
        <f aca="false">Q534-R534-S534-T534-U534</f>
        <v>867218.197574175</v>
      </c>
      <c r="W534" s="39" t="n">
        <f aca="false">DAY(EOMONTH(C534,0))</f>
        <v>31</v>
      </c>
      <c r="X534" s="40" t="n">
        <f aca="false">E534/W534</f>
        <v>1324.06451612903</v>
      </c>
      <c r="Y534" s="39" t="n">
        <f aca="false">R534+S534+T534+U534</f>
        <v>1564724</v>
      </c>
    </row>
    <row r="535" customFormat="false" ht="15" hidden="false" customHeight="false" outlineLevel="0" collapsed="false">
      <c r="A535" s="37" t="str">
        <f aca="false">'Assumptions &amp; Data'!A669</f>
        <v>SM0465</v>
      </c>
      <c r="B535" s="37" t="str">
        <f aca="false">'Assumptions &amp; Data'!B669</f>
        <v>DS039</v>
      </c>
      <c r="C535" s="38" t="n">
        <f aca="false">'Assumptions &amp; Data'!C669</f>
        <v>46174</v>
      </c>
      <c r="D535" s="39" t="str">
        <f aca="false">INDEX('Assumptions &amp; Data'!$B$142:$B$201,MATCH(B535,'Assumptions &amp; Data'!$A$142:$A$201,0))</f>
        <v>Hyderabad</v>
      </c>
      <c r="E535" s="37" t="n">
        <f aca="false">'Assumptions &amp; Data'!D669</f>
        <v>38980</v>
      </c>
      <c r="F535" s="39" t="n">
        <f aca="false">E535*'Assumptions &amp; Data'!E669</f>
        <v>25169386</v>
      </c>
      <c r="G535" s="39" t="n">
        <f aca="false">F535*'Assumptions &amp; Data'!F669</f>
        <v>1316358.8878</v>
      </c>
      <c r="H535" s="39" t="n">
        <f aca="false">F535-G535</f>
        <v>23853027.1122</v>
      </c>
      <c r="I535" s="39" t="n">
        <f aca="false">H535*'Assumptions &amp; Data'!G669</f>
        <v>3961987.80333642</v>
      </c>
      <c r="J535" s="39" t="n">
        <f aca="false">E535*'Assumptions &amp; Data'!H669</f>
        <v>518434</v>
      </c>
      <c r="K535" s="39" t="n">
        <f aca="false">H535*'Assumptions &amp; Data'!I669</f>
        <v>768067.47301284</v>
      </c>
      <c r="L535" s="39" t="n">
        <f aca="false">H535*'Assumptions &amp; Data'!J669</f>
        <v>927882.75466458</v>
      </c>
      <c r="M535" s="39" t="n">
        <f aca="false">I535+J535+K535-L535</f>
        <v>4320606.52168468</v>
      </c>
      <c r="N535" s="39" t="n">
        <f aca="false">E535*'Assumptions &amp; Data'!N669</f>
        <v>1343640.6</v>
      </c>
      <c r="O535" s="39" t="n">
        <f aca="false">E535*'Assumptions &amp; Data'!O669</f>
        <v>386681.6</v>
      </c>
      <c r="P535" s="39" t="n">
        <f aca="false">H535*'Assumptions &amp; Data'!P669</f>
        <v>233759.66569956</v>
      </c>
      <c r="Q535" s="39" t="n">
        <f aca="false">M535-N535-O535-P535</f>
        <v>2356524.65598512</v>
      </c>
      <c r="R535" s="39" t="n">
        <f aca="false">'Assumptions &amp; Data'!L669*'Assumptions &amp; Data'!M669</f>
        <v>726754</v>
      </c>
      <c r="S535" s="37" t="n">
        <f aca="false">'Assumptions &amp; Data'!Q669</f>
        <v>475000</v>
      </c>
      <c r="T535" s="37" t="n">
        <f aca="false">'Assumptions &amp; Data'!R669</f>
        <v>184714</v>
      </c>
      <c r="U535" s="37" t="n">
        <f aca="false">'Assumptions &amp; Data'!S669</f>
        <v>186630</v>
      </c>
      <c r="V535" s="39" t="n">
        <f aca="false">Q535-R535-S535-T535-U535</f>
        <v>783426.65598512</v>
      </c>
      <c r="W535" s="39" t="n">
        <f aca="false">DAY(EOMONTH(C535,0))</f>
        <v>30</v>
      </c>
      <c r="X535" s="40" t="n">
        <f aca="false">E535/W535</f>
        <v>1299.33333333333</v>
      </c>
      <c r="Y535" s="39" t="n">
        <f aca="false">R535+S535+T535+U535</f>
        <v>1573098</v>
      </c>
    </row>
    <row r="536" customFormat="false" ht="15" hidden="false" customHeight="false" outlineLevel="0" collapsed="false">
      <c r="A536" s="37" t="str">
        <f aca="false">'Assumptions &amp; Data'!A670</f>
        <v>SM0466</v>
      </c>
      <c r="B536" s="37" t="str">
        <f aca="false">'Assumptions &amp; Data'!B670</f>
        <v>DS039</v>
      </c>
      <c r="C536" s="38" t="n">
        <f aca="false">'Assumptions &amp; Data'!C670</f>
        <v>46204</v>
      </c>
      <c r="D536" s="39" t="str">
        <f aca="false">INDEX('Assumptions &amp; Data'!$B$142:$B$201,MATCH(B536,'Assumptions &amp; Data'!$A$142:$A$201,0))</f>
        <v>Hyderabad</v>
      </c>
      <c r="E536" s="37" t="n">
        <f aca="false">'Assumptions &amp; Data'!D670</f>
        <v>37831</v>
      </c>
      <c r="F536" s="39" t="n">
        <f aca="false">E536*'Assumptions &amp; Data'!E670</f>
        <v>23723820.1</v>
      </c>
      <c r="G536" s="39" t="n">
        <f aca="false">F536*'Assumptions &amp; Data'!F670</f>
        <v>1281086.2854</v>
      </c>
      <c r="H536" s="39" t="n">
        <f aca="false">F536-G536</f>
        <v>22442733.8146</v>
      </c>
      <c r="I536" s="39" t="n">
        <f aca="false">H536*'Assumptions &amp; Data'!G670</f>
        <v>3721005.26646068</v>
      </c>
      <c r="J536" s="39" t="n">
        <f aca="false">E536*'Assumptions &amp; Data'!H670</f>
        <v>514879.91</v>
      </c>
      <c r="K536" s="39" t="n">
        <f aca="false">H536*'Assumptions &amp; Data'!I670</f>
        <v>675526.28781946</v>
      </c>
      <c r="L536" s="39" t="n">
        <f aca="false">H536*'Assumptions &amp; Data'!J670</f>
        <v>839358.24466604</v>
      </c>
      <c r="M536" s="39" t="n">
        <f aca="false">I536+J536+K536-L536</f>
        <v>4072053.2196141</v>
      </c>
      <c r="N536" s="39" t="n">
        <f aca="false">E536*'Assumptions &amp; Data'!N670</f>
        <v>1305926.12</v>
      </c>
      <c r="O536" s="39" t="n">
        <f aca="false">E536*'Assumptions &amp; Data'!O670</f>
        <v>371122.11</v>
      </c>
      <c r="P536" s="39" t="n">
        <f aca="false">H536*'Assumptions &amp; Data'!P670</f>
        <v>224427.338146</v>
      </c>
      <c r="Q536" s="39" t="n">
        <f aca="false">M536-N536-O536-P536</f>
        <v>2170577.6514681</v>
      </c>
      <c r="R536" s="39" t="n">
        <f aca="false">'Assumptions &amp; Data'!L670*'Assumptions &amp; Data'!M670</f>
        <v>707760</v>
      </c>
      <c r="S536" s="37" t="n">
        <f aca="false">'Assumptions &amp; Data'!Q670</f>
        <v>475000</v>
      </c>
      <c r="T536" s="37" t="n">
        <f aca="false">'Assumptions &amp; Data'!R670</f>
        <v>194163</v>
      </c>
      <c r="U536" s="37" t="n">
        <f aca="false">'Assumptions &amp; Data'!S670</f>
        <v>152664</v>
      </c>
      <c r="V536" s="39" t="n">
        <f aca="false">Q536-R536-S536-T536-U536</f>
        <v>640990.651468101</v>
      </c>
      <c r="W536" s="39" t="n">
        <f aca="false">DAY(EOMONTH(C536,0))</f>
        <v>31</v>
      </c>
      <c r="X536" s="40" t="n">
        <f aca="false">E536/W536</f>
        <v>1220.35483870968</v>
      </c>
      <c r="Y536" s="39" t="n">
        <f aca="false">R536+S536+T536+U536</f>
        <v>1529587</v>
      </c>
    </row>
    <row r="537" customFormat="false" ht="15" hidden="false" customHeight="false" outlineLevel="0" collapsed="false">
      <c r="A537" s="37" t="str">
        <f aca="false">'Assumptions &amp; Data'!A671</f>
        <v>SM0467</v>
      </c>
      <c r="B537" s="37" t="str">
        <f aca="false">'Assumptions &amp; Data'!B671</f>
        <v>DS039</v>
      </c>
      <c r="C537" s="38" t="n">
        <f aca="false">'Assumptions &amp; Data'!C671</f>
        <v>46235</v>
      </c>
      <c r="D537" s="39" t="str">
        <f aca="false">INDEX('Assumptions &amp; Data'!$B$142:$B$201,MATCH(B537,'Assumptions &amp; Data'!$A$142:$A$201,0))</f>
        <v>Hyderabad</v>
      </c>
      <c r="E537" s="37" t="n">
        <f aca="false">'Assumptions &amp; Data'!D671</f>
        <v>38129</v>
      </c>
      <c r="F537" s="39" t="n">
        <f aca="false">E537*'Assumptions &amp; Data'!E671</f>
        <v>24352992.3</v>
      </c>
      <c r="G537" s="39" t="n">
        <f aca="false">F537*'Assumptions &amp; Data'!F671</f>
        <v>1259049.70191</v>
      </c>
      <c r="H537" s="39" t="n">
        <f aca="false">F537-G537</f>
        <v>23093942.59809</v>
      </c>
      <c r="I537" s="39" t="n">
        <f aca="false">H537*'Assumptions &amp; Data'!G671</f>
        <v>3801262.95164561</v>
      </c>
      <c r="J537" s="39" t="n">
        <f aca="false">E537*'Assumptions &amp; Data'!H671</f>
        <v>550201.47</v>
      </c>
      <c r="K537" s="39" t="n">
        <f aca="false">H537*'Assumptions &amp; Data'!I671</f>
        <v>732077.980359453</v>
      </c>
      <c r="L537" s="39" t="n">
        <f aca="false">H537*'Assumptions &amp; Data'!J671</f>
        <v>879879.212987229</v>
      </c>
      <c r="M537" s="39" t="n">
        <f aca="false">I537+J537+K537-L537</f>
        <v>4203663.18901784</v>
      </c>
      <c r="N537" s="39" t="n">
        <f aca="false">E537*'Assumptions &amp; Data'!N671</f>
        <v>1293335.68</v>
      </c>
      <c r="O537" s="39" t="n">
        <f aca="false">E537*'Assumptions &amp; Data'!O671</f>
        <v>371376.46</v>
      </c>
      <c r="P537" s="39" t="n">
        <f aca="false">H537*'Assumptions &amp; Data'!P671</f>
        <v>226320.637461282</v>
      </c>
      <c r="Q537" s="39" t="n">
        <f aca="false">M537-N537-O537-P537</f>
        <v>2312630.41155656</v>
      </c>
      <c r="R537" s="39" t="n">
        <f aca="false">'Assumptions &amp; Data'!L671*'Assumptions &amp; Data'!M671</f>
        <v>708372</v>
      </c>
      <c r="S537" s="37" t="n">
        <f aca="false">'Assumptions &amp; Data'!Q671</f>
        <v>475000</v>
      </c>
      <c r="T537" s="37" t="n">
        <f aca="false">'Assumptions &amp; Data'!R671</f>
        <v>185455</v>
      </c>
      <c r="U537" s="37" t="n">
        <f aca="false">'Assumptions &amp; Data'!S671</f>
        <v>152732</v>
      </c>
      <c r="V537" s="39" t="n">
        <f aca="false">Q537-R537-S537-T537-U537</f>
        <v>791071.411556556</v>
      </c>
      <c r="W537" s="39" t="n">
        <f aca="false">DAY(EOMONTH(C537,0))</f>
        <v>31</v>
      </c>
      <c r="X537" s="40" t="n">
        <f aca="false">E537/W537</f>
        <v>1229.96774193548</v>
      </c>
      <c r="Y537" s="39" t="n">
        <f aca="false">R537+S537+T537+U537</f>
        <v>1521559</v>
      </c>
    </row>
    <row r="538" customFormat="false" ht="15" hidden="false" customHeight="false" outlineLevel="0" collapsed="false">
      <c r="A538" s="37" t="str">
        <f aca="false">'Assumptions &amp; Data'!A672</f>
        <v>SM0468</v>
      </c>
      <c r="B538" s="37" t="str">
        <f aca="false">'Assumptions &amp; Data'!B672</f>
        <v>DS039</v>
      </c>
      <c r="C538" s="38" t="n">
        <f aca="false">'Assumptions &amp; Data'!C672</f>
        <v>46266</v>
      </c>
      <c r="D538" s="39" t="str">
        <f aca="false">INDEX('Assumptions &amp; Data'!$B$142:$B$201,MATCH(B538,'Assumptions &amp; Data'!$A$142:$A$201,0))</f>
        <v>Hyderabad</v>
      </c>
      <c r="E538" s="37" t="n">
        <f aca="false">'Assumptions &amp; Data'!D672</f>
        <v>38958</v>
      </c>
      <c r="F538" s="39" t="n">
        <f aca="false">E538*'Assumptions &amp; Data'!E672</f>
        <v>25381137</v>
      </c>
      <c r="G538" s="39" t="n">
        <f aca="false">F538*'Assumptions &amp; Data'!F672</f>
        <v>1324895.3514</v>
      </c>
      <c r="H538" s="39" t="n">
        <f aca="false">F538-G538</f>
        <v>24056241.6486</v>
      </c>
      <c r="I538" s="39" t="n">
        <f aca="false">H538*'Assumptions &amp; Data'!G672</f>
        <v>3925978.63705152</v>
      </c>
      <c r="J538" s="39" t="n">
        <f aca="false">E538*'Assumptions &amp; Data'!H672</f>
        <v>523595.52</v>
      </c>
      <c r="K538" s="39" t="n">
        <f aca="false">H538*'Assumptions &amp; Data'!I672</f>
        <v>743337.86694174</v>
      </c>
      <c r="L538" s="39" t="n">
        <f aca="false">H538*'Assumptions &amp; Data'!J672</f>
        <v>902109.0618225</v>
      </c>
      <c r="M538" s="39" t="n">
        <f aca="false">I538+J538+K538-L538</f>
        <v>4290802.96217076</v>
      </c>
      <c r="N538" s="39" t="n">
        <f aca="false">E538*'Assumptions &amp; Data'!N672</f>
        <v>1337817.72</v>
      </c>
      <c r="O538" s="39" t="n">
        <f aca="false">E538*'Assumptions &amp; Data'!O672</f>
        <v>402825.72</v>
      </c>
      <c r="P538" s="39" t="n">
        <f aca="false">H538*'Assumptions &amp; Data'!P672</f>
        <v>242968.04065086</v>
      </c>
      <c r="Q538" s="39" t="n">
        <f aca="false">M538-N538-O538-P538</f>
        <v>2307191.4815199</v>
      </c>
      <c r="R538" s="39" t="n">
        <f aca="false">'Assumptions &amp; Data'!L672*'Assumptions &amp; Data'!M672</f>
        <v>728715</v>
      </c>
      <c r="S538" s="37" t="n">
        <f aca="false">'Assumptions &amp; Data'!Q672</f>
        <v>475000</v>
      </c>
      <c r="T538" s="37" t="n">
        <f aca="false">'Assumptions &amp; Data'!R672</f>
        <v>184856</v>
      </c>
      <c r="U538" s="37" t="n">
        <f aca="false">'Assumptions &amp; Data'!S672</f>
        <v>155226</v>
      </c>
      <c r="V538" s="39" t="n">
        <f aca="false">Q538-R538-S538-T538-U538</f>
        <v>763394.4815199</v>
      </c>
      <c r="W538" s="39" t="n">
        <f aca="false">DAY(EOMONTH(C538,0))</f>
        <v>30</v>
      </c>
      <c r="X538" s="40" t="n">
        <f aca="false">E538/W538</f>
        <v>1298.6</v>
      </c>
      <c r="Y538" s="39" t="n">
        <f aca="false">R538+S538+T538+U538</f>
        <v>1543797</v>
      </c>
    </row>
    <row r="539" customFormat="false" ht="15" hidden="false" customHeight="false" outlineLevel="0" collapsed="false">
      <c r="A539" s="37" t="str">
        <f aca="false">'Assumptions &amp; Data'!A673</f>
        <v>SM0469</v>
      </c>
      <c r="B539" s="37" t="str">
        <f aca="false">'Assumptions &amp; Data'!B673</f>
        <v>DS040</v>
      </c>
      <c r="C539" s="38" t="n">
        <f aca="false">'Assumptions &amp; Data'!C673</f>
        <v>45931</v>
      </c>
      <c r="D539" s="39" t="str">
        <f aca="false">INDEX('Assumptions &amp; Data'!$B$142:$B$201,MATCH(B539,'Assumptions &amp; Data'!$A$142:$A$201,0))</f>
        <v>Hyderabad</v>
      </c>
      <c r="E539" s="37" t="n">
        <f aca="false">'Assumptions &amp; Data'!D673</f>
        <v>3260</v>
      </c>
      <c r="F539" s="39" t="n">
        <f aca="false">E539*'Assumptions &amp; Data'!E673</f>
        <v>2005552</v>
      </c>
      <c r="G539" s="39" t="n">
        <f aca="false">F539*'Assumptions &amp; Data'!F673</f>
        <v>218204.0576</v>
      </c>
      <c r="H539" s="39" t="n">
        <f aca="false">F539-G539</f>
        <v>1787347.9424</v>
      </c>
      <c r="I539" s="39" t="n">
        <f aca="false">H539*'Assumptions &amp; Data'!G673</f>
        <v>293661.26693632</v>
      </c>
      <c r="J539" s="39" t="n">
        <f aca="false">E539*'Assumptions &amp; Data'!H673</f>
        <v>36153.4</v>
      </c>
      <c r="K539" s="39" t="n">
        <f aca="false">H539*'Assumptions &amp; Data'!I673</f>
        <v>28418.83228416</v>
      </c>
      <c r="L539" s="39" t="n">
        <f aca="false">H539*'Assumptions &amp; Data'!J673</f>
        <v>73996.20481536</v>
      </c>
      <c r="M539" s="39" t="n">
        <f aca="false">I539+J539+K539-L539</f>
        <v>284237.29440512</v>
      </c>
      <c r="N539" s="39" t="n">
        <f aca="false">E539*'Assumptions &amp; Data'!N673</f>
        <v>145037.4</v>
      </c>
      <c r="O539" s="39" t="n">
        <f aca="false">E539*'Assumptions &amp; Data'!O673</f>
        <v>31882.8</v>
      </c>
      <c r="P539" s="39" t="n">
        <f aca="false">H539*'Assumptions &amp; Data'!P673</f>
        <v>18945.88818944</v>
      </c>
      <c r="Q539" s="39" t="n">
        <f aca="false">M539-N539-O539-P539</f>
        <v>88371.2062156801</v>
      </c>
      <c r="R539" s="39" t="n">
        <f aca="false">'Assumptions &amp; Data'!L673*'Assumptions &amp; Data'!M673</f>
        <v>312000</v>
      </c>
      <c r="S539" s="37" t="n">
        <f aca="false">'Assumptions &amp; Data'!Q673</f>
        <v>340000</v>
      </c>
      <c r="T539" s="37" t="n">
        <f aca="false">'Assumptions &amp; Data'!R673</f>
        <v>166551</v>
      </c>
      <c r="U539" s="37" t="n">
        <f aca="false">'Assumptions &amp; Data'!S673</f>
        <v>60624</v>
      </c>
      <c r="V539" s="39" t="n">
        <f aca="false">Q539-R539-S539-T539-U539</f>
        <v>-790803.79378432</v>
      </c>
      <c r="W539" s="39" t="n">
        <f aca="false">DAY(EOMONTH(C539,0))</f>
        <v>31</v>
      </c>
      <c r="X539" s="40" t="n">
        <f aca="false">E539/W539</f>
        <v>105.161290322581</v>
      </c>
      <c r="Y539" s="39" t="n">
        <f aca="false">R539+S539+T539+U539</f>
        <v>879175</v>
      </c>
    </row>
    <row r="540" customFormat="false" ht="15" hidden="false" customHeight="false" outlineLevel="0" collapsed="false">
      <c r="A540" s="37" t="str">
        <f aca="false">'Assumptions &amp; Data'!A674</f>
        <v>SM0470</v>
      </c>
      <c r="B540" s="37" t="str">
        <f aca="false">'Assumptions &amp; Data'!B674</f>
        <v>DS040</v>
      </c>
      <c r="C540" s="38" t="n">
        <f aca="false">'Assumptions &amp; Data'!C674</f>
        <v>45962</v>
      </c>
      <c r="D540" s="39" t="str">
        <f aca="false">INDEX('Assumptions &amp; Data'!$B$142:$B$201,MATCH(B540,'Assumptions &amp; Data'!$A$142:$A$201,0))</f>
        <v>Hyderabad</v>
      </c>
      <c r="E540" s="37" t="n">
        <f aca="false">'Assumptions &amp; Data'!D674</f>
        <v>2978</v>
      </c>
      <c r="F540" s="39" t="n">
        <f aca="false">E540*'Assumptions &amp; Data'!E674</f>
        <v>1842488.6</v>
      </c>
      <c r="G540" s="39" t="n">
        <f aca="false">F540*'Assumptions &amp; Data'!F674</f>
        <v>194566.79616</v>
      </c>
      <c r="H540" s="39" t="n">
        <f aca="false">F540-G540</f>
        <v>1647921.80384</v>
      </c>
      <c r="I540" s="39" t="n">
        <f aca="false">H540*'Assumptions &amp; Data'!G674</f>
        <v>269600.007108224</v>
      </c>
      <c r="J540" s="39" t="n">
        <f aca="false">E540*'Assumptions &amp; Data'!H674</f>
        <v>35944.46</v>
      </c>
      <c r="K540" s="39" t="n">
        <f aca="false">H540*'Assumptions &amp; Data'!I674</f>
        <v>28673.839386816</v>
      </c>
      <c r="L540" s="39" t="n">
        <f aca="false">H540*'Assumptions &amp; Data'!J674</f>
        <v>68388.75485936</v>
      </c>
      <c r="M540" s="39" t="n">
        <f aca="false">I540+J540+K540-L540</f>
        <v>265829.55163568</v>
      </c>
      <c r="N540" s="39" t="n">
        <f aca="false">E540*'Assumptions &amp; Data'!N674</f>
        <v>131955.18</v>
      </c>
      <c r="O540" s="39" t="n">
        <f aca="false">E540*'Assumptions &amp; Data'!O674</f>
        <v>29095.06</v>
      </c>
      <c r="P540" s="39" t="n">
        <f aca="false">H540*'Assumptions &amp; Data'!P674</f>
        <v>17467.971120704</v>
      </c>
      <c r="Q540" s="39" t="n">
        <f aca="false">M540-N540-O540-P540</f>
        <v>87311.3405149761</v>
      </c>
      <c r="R540" s="39" t="n">
        <f aca="false">'Assumptions &amp; Data'!L674*'Assumptions &amp; Data'!M674</f>
        <v>312288</v>
      </c>
      <c r="S540" s="37" t="n">
        <f aca="false">'Assumptions &amp; Data'!Q674</f>
        <v>340000</v>
      </c>
      <c r="T540" s="37" t="n">
        <f aca="false">'Assumptions &amp; Data'!R674</f>
        <v>165128</v>
      </c>
      <c r="U540" s="37" t="n">
        <f aca="false">'Assumptions &amp; Data'!S674</f>
        <v>55794</v>
      </c>
      <c r="V540" s="39" t="n">
        <f aca="false">Q540-R540-S540-T540-U540</f>
        <v>-785898.659485024</v>
      </c>
      <c r="W540" s="39" t="n">
        <f aca="false">DAY(EOMONTH(C540,0))</f>
        <v>30</v>
      </c>
      <c r="X540" s="40" t="n">
        <f aca="false">E540/W540</f>
        <v>99.2666666666667</v>
      </c>
      <c r="Y540" s="39" t="n">
        <f aca="false">R540+S540+T540+U540</f>
        <v>873210</v>
      </c>
    </row>
    <row r="541" customFormat="false" ht="15" hidden="false" customHeight="false" outlineLevel="0" collapsed="false">
      <c r="A541" s="37" t="str">
        <f aca="false">'Assumptions &amp; Data'!A675</f>
        <v>SM0471</v>
      </c>
      <c r="B541" s="37" t="str">
        <f aca="false">'Assumptions &amp; Data'!B675</f>
        <v>DS040</v>
      </c>
      <c r="C541" s="38" t="n">
        <f aca="false">'Assumptions &amp; Data'!C675</f>
        <v>45992</v>
      </c>
      <c r="D541" s="39" t="str">
        <f aca="false">INDEX('Assumptions &amp; Data'!$B$142:$B$201,MATCH(B541,'Assumptions &amp; Data'!$A$142:$A$201,0))</f>
        <v>Hyderabad</v>
      </c>
      <c r="E541" s="37" t="n">
        <f aca="false">'Assumptions &amp; Data'!D675</f>
        <v>5349</v>
      </c>
      <c r="F541" s="39" t="n">
        <f aca="false">E541*'Assumptions &amp; Data'!E675</f>
        <v>3387521.7</v>
      </c>
      <c r="G541" s="39" t="n">
        <f aca="false">F541*'Assumptions &amp; Data'!F675</f>
        <v>343494.70038</v>
      </c>
      <c r="H541" s="39" t="n">
        <f aca="false">F541-G541</f>
        <v>3044026.99962</v>
      </c>
      <c r="I541" s="39" t="n">
        <f aca="false">H541*'Assumptions &amp; Data'!G675</f>
        <v>494045.582038326</v>
      </c>
      <c r="J541" s="39" t="n">
        <f aca="false">E541*'Assumptions &amp; Data'!H675</f>
        <v>63546.12</v>
      </c>
      <c r="K541" s="39" t="n">
        <f aca="false">H541*'Assumptions &amp; Data'!I675</f>
        <v>45051.599594376</v>
      </c>
      <c r="L541" s="39" t="n">
        <f aca="false">H541*'Assumptions &amp; Data'!J675</f>
        <v>122674.288084686</v>
      </c>
      <c r="M541" s="39" t="n">
        <f aca="false">I541+J541+K541-L541</f>
        <v>479969.013548016</v>
      </c>
      <c r="N541" s="39" t="n">
        <f aca="false">E541*'Assumptions &amp; Data'!N675</f>
        <v>234767.61</v>
      </c>
      <c r="O541" s="39" t="n">
        <f aca="false">E541*'Assumptions &amp; Data'!O675</f>
        <v>53169.06</v>
      </c>
      <c r="P541" s="39" t="n">
        <f aca="false">H541*'Assumptions &amp; Data'!P675</f>
        <v>29527.061896314</v>
      </c>
      <c r="Q541" s="39" t="n">
        <f aca="false">M541-N541-O541-P541</f>
        <v>162505.281651702</v>
      </c>
      <c r="R541" s="39" t="n">
        <f aca="false">'Assumptions &amp; Data'!L675*'Assumptions &amp; Data'!M675</f>
        <v>312560</v>
      </c>
      <c r="S541" s="37" t="n">
        <f aca="false">'Assumptions &amp; Data'!Q675</f>
        <v>340000</v>
      </c>
      <c r="T541" s="37" t="n">
        <f aca="false">'Assumptions &amp; Data'!R675</f>
        <v>163302</v>
      </c>
      <c r="U541" s="37" t="n">
        <f aca="false">'Assumptions &amp; Data'!S675</f>
        <v>92537</v>
      </c>
      <c r="V541" s="39" t="n">
        <f aca="false">Q541-R541-S541-T541-U541</f>
        <v>-745893.718348298</v>
      </c>
      <c r="W541" s="39" t="n">
        <f aca="false">DAY(EOMONTH(C541,0))</f>
        <v>31</v>
      </c>
      <c r="X541" s="40" t="n">
        <f aca="false">E541/W541</f>
        <v>172.548387096774</v>
      </c>
      <c r="Y541" s="39" t="n">
        <f aca="false">R541+S541+T541+U541</f>
        <v>908399</v>
      </c>
    </row>
    <row r="542" customFormat="false" ht="15" hidden="false" customHeight="false" outlineLevel="0" collapsed="false">
      <c r="A542" s="37" t="str">
        <f aca="false">'Assumptions &amp; Data'!A676</f>
        <v>SM0472</v>
      </c>
      <c r="B542" s="37" t="str">
        <f aca="false">'Assumptions &amp; Data'!B676</f>
        <v>DS040</v>
      </c>
      <c r="C542" s="38" t="n">
        <f aca="false">'Assumptions &amp; Data'!C676</f>
        <v>46023</v>
      </c>
      <c r="D542" s="39" t="str">
        <f aca="false">INDEX('Assumptions &amp; Data'!$B$142:$B$201,MATCH(B542,'Assumptions &amp; Data'!$A$142:$A$201,0))</f>
        <v>Hyderabad</v>
      </c>
      <c r="E542" s="37" t="n">
        <f aca="false">'Assumptions &amp; Data'!D676</f>
        <v>7605</v>
      </c>
      <c r="F542" s="39" t="n">
        <f aca="false">E542*'Assumptions &amp; Data'!E676</f>
        <v>4566802.5</v>
      </c>
      <c r="G542" s="39" t="n">
        <f aca="false">F542*'Assumptions &amp; Data'!F676</f>
        <v>447546.645</v>
      </c>
      <c r="H542" s="39" t="n">
        <f aca="false">F542-G542</f>
        <v>4119255.855</v>
      </c>
      <c r="I542" s="39" t="n">
        <f aca="false">H542*'Assumptions &amp; Data'!G676</f>
        <v>657433.234458</v>
      </c>
      <c r="J542" s="39" t="n">
        <f aca="false">E542*'Assumptions &amp; Data'!H676</f>
        <v>89054.55</v>
      </c>
      <c r="K542" s="39" t="n">
        <f aca="false">H542*'Assumptions &amp; Data'!I676</f>
        <v>70851.200706</v>
      </c>
      <c r="L542" s="39" t="n">
        <f aca="false">H542*'Assumptions &amp; Data'!J676</f>
        <v>154060.168977</v>
      </c>
      <c r="M542" s="39" t="n">
        <f aca="false">I542+J542+K542-L542</f>
        <v>663278.816187</v>
      </c>
      <c r="N542" s="39" t="n">
        <f aca="false">E542*'Assumptions &amp; Data'!N676</f>
        <v>322223.85</v>
      </c>
      <c r="O542" s="39" t="n">
        <f aca="false">E542*'Assumptions &amp; Data'!O676</f>
        <v>76506.3</v>
      </c>
      <c r="P542" s="39" t="n">
        <f aca="false">H542*'Assumptions &amp; Data'!P676</f>
        <v>42428.3353065</v>
      </c>
      <c r="Q542" s="39" t="n">
        <f aca="false">M542-N542-O542-P542</f>
        <v>222120.3308805</v>
      </c>
      <c r="R542" s="39" t="n">
        <f aca="false">'Assumptions &amp; Data'!L676*'Assumptions &amp; Data'!M676</f>
        <v>312848</v>
      </c>
      <c r="S542" s="37" t="n">
        <f aca="false">'Assumptions &amp; Data'!Q676</f>
        <v>340000</v>
      </c>
      <c r="T542" s="37" t="n">
        <f aca="false">'Assumptions &amp; Data'!R676</f>
        <v>166300</v>
      </c>
      <c r="U542" s="37" t="n">
        <f aca="false">'Assumptions &amp; Data'!S676</f>
        <v>111652</v>
      </c>
      <c r="V542" s="39" t="n">
        <f aca="false">Q542-R542-S542-T542-U542</f>
        <v>-708679.6691195</v>
      </c>
      <c r="W542" s="39" t="n">
        <f aca="false">DAY(EOMONTH(C542,0))</f>
        <v>31</v>
      </c>
      <c r="X542" s="40" t="n">
        <f aca="false">E542/W542</f>
        <v>245.322580645161</v>
      </c>
      <c r="Y542" s="39" t="n">
        <f aca="false">R542+S542+T542+U542</f>
        <v>930800</v>
      </c>
    </row>
    <row r="543" customFormat="false" ht="15" hidden="false" customHeight="false" outlineLevel="0" collapsed="false">
      <c r="A543" s="37" t="str">
        <f aca="false">'Assumptions &amp; Data'!A677</f>
        <v>SM0473</v>
      </c>
      <c r="B543" s="37" t="str">
        <f aca="false">'Assumptions &amp; Data'!B677</f>
        <v>DS040</v>
      </c>
      <c r="C543" s="38" t="n">
        <f aca="false">'Assumptions &amp; Data'!C677</f>
        <v>46054</v>
      </c>
      <c r="D543" s="39" t="str">
        <f aca="false">INDEX('Assumptions &amp; Data'!$B$142:$B$201,MATCH(B543,'Assumptions &amp; Data'!$A$142:$A$201,0))</f>
        <v>Hyderabad</v>
      </c>
      <c r="E543" s="37" t="n">
        <f aca="false">'Assumptions &amp; Data'!D677</f>
        <v>9226</v>
      </c>
      <c r="F543" s="39" t="n">
        <f aca="false">E543*'Assumptions &amp; Data'!E677</f>
        <v>5772708.2</v>
      </c>
      <c r="G543" s="39" t="n">
        <f aca="false">F543*'Assumptions &amp; Data'!F677</f>
        <v>540325.48752</v>
      </c>
      <c r="H543" s="39" t="n">
        <f aca="false">F543-G543</f>
        <v>5232382.71248</v>
      </c>
      <c r="I543" s="39" t="n">
        <f aca="false">H543*'Assumptions &amp; Data'!G677</f>
        <v>835088.280911808</v>
      </c>
      <c r="J543" s="39" t="n">
        <f aca="false">E543*'Assumptions &amp; Data'!H677</f>
        <v>108497.76</v>
      </c>
      <c r="K543" s="39" t="n">
        <f aca="false">H543*'Assumptions &amp; Data'!I677</f>
        <v>104647.6542496</v>
      </c>
      <c r="L543" s="39" t="n">
        <f aca="false">H543*'Assumptions &amp; Data'!J677</f>
        <v>190458.730734272</v>
      </c>
      <c r="M543" s="39" t="n">
        <f aca="false">I543+J543+K543-L543</f>
        <v>857774.964427136</v>
      </c>
      <c r="N543" s="39" t="n">
        <f aca="false">E543*'Assumptions &amp; Data'!N677</f>
        <v>394411.5</v>
      </c>
      <c r="O543" s="39" t="n">
        <f aca="false">E543*'Assumptions &amp; Data'!O677</f>
        <v>88569.6</v>
      </c>
      <c r="P543" s="39" t="n">
        <f aca="false">H543*'Assumptions &amp; Data'!P677</f>
        <v>51277.350582304</v>
      </c>
      <c r="Q543" s="39" t="n">
        <f aca="false">M543-N543-O543-P543</f>
        <v>323516.513844832</v>
      </c>
      <c r="R543" s="39" t="n">
        <f aca="false">'Assumptions &amp; Data'!L677*'Assumptions &amp; Data'!M677</f>
        <v>313136</v>
      </c>
      <c r="S543" s="37" t="n">
        <f aca="false">'Assumptions &amp; Data'!Q677</f>
        <v>340000</v>
      </c>
      <c r="T543" s="37" t="n">
        <f aca="false">'Assumptions &amp; Data'!R677</f>
        <v>171511</v>
      </c>
      <c r="U543" s="37" t="n">
        <f aca="false">'Assumptions &amp; Data'!S677</f>
        <v>136809</v>
      </c>
      <c r="V543" s="39" t="n">
        <f aca="false">Q543-R543-S543-T543-U543</f>
        <v>-637939.486155168</v>
      </c>
      <c r="W543" s="39" t="n">
        <f aca="false">DAY(EOMONTH(C543,0))</f>
        <v>28</v>
      </c>
      <c r="X543" s="40" t="n">
        <f aca="false">E543/W543</f>
        <v>329.5</v>
      </c>
      <c r="Y543" s="39" t="n">
        <f aca="false">R543+S543+T543+U543</f>
        <v>961456</v>
      </c>
    </row>
    <row r="544" customFormat="false" ht="15" hidden="false" customHeight="false" outlineLevel="0" collapsed="false">
      <c r="A544" s="37" t="str">
        <f aca="false">'Assumptions &amp; Data'!A678</f>
        <v>SM0474</v>
      </c>
      <c r="B544" s="37" t="str">
        <f aca="false">'Assumptions &amp; Data'!B678</f>
        <v>DS040</v>
      </c>
      <c r="C544" s="38" t="n">
        <f aca="false">'Assumptions &amp; Data'!C678</f>
        <v>46082</v>
      </c>
      <c r="D544" s="39" t="str">
        <f aca="false">INDEX('Assumptions &amp; Data'!$B$142:$B$201,MATCH(B544,'Assumptions &amp; Data'!$A$142:$A$201,0))</f>
        <v>Hyderabad</v>
      </c>
      <c r="E544" s="37" t="n">
        <f aca="false">'Assumptions &amp; Data'!D678</f>
        <v>13054</v>
      </c>
      <c r="F544" s="39" t="n">
        <f aca="false">E544*'Assumptions &amp; Data'!E678</f>
        <v>8247517.2</v>
      </c>
      <c r="G544" s="39" t="n">
        <f aca="false">F544*'Assumptions &amp; Data'!F678</f>
        <v>779390.3754</v>
      </c>
      <c r="H544" s="39" t="n">
        <f aca="false">F544-G544</f>
        <v>7468126.8246</v>
      </c>
      <c r="I544" s="39" t="n">
        <f aca="false">H544*'Assumptions &amp; Data'!G678</f>
        <v>1214317.42167996</v>
      </c>
      <c r="J544" s="39" t="n">
        <f aca="false">E544*'Assumptions &amp; Data'!H678</f>
        <v>163566.62</v>
      </c>
      <c r="K544" s="39" t="n">
        <f aca="false">H544*'Assumptions &amp; Data'!I678</f>
        <v>170273.29160088</v>
      </c>
      <c r="L544" s="39" t="n">
        <f aca="false">H544*'Assumptions &amp; Data'!J678</f>
        <v>254663.12471886</v>
      </c>
      <c r="M544" s="39" t="n">
        <f aca="false">I544+J544+K544-L544</f>
        <v>1293494.20856198</v>
      </c>
      <c r="N544" s="39" t="n">
        <f aca="false">E544*'Assumptions &amp; Data'!N678</f>
        <v>530253.48</v>
      </c>
      <c r="O544" s="39" t="n">
        <f aca="false">E544*'Assumptions &amp; Data'!O678</f>
        <v>127929.2</v>
      </c>
      <c r="P544" s="39" t="n">
        <f aca="false">H544*'Assumptions &amp; Data'!P678</f>
        <v>74681.268246</v>
      </c>
      <c r="Q544" s="39" t="n">
        <f aca="false">M544-N544-O544-P544</f>
        <v>560630.26031598</v>
      </c>
      <c r="R544" s="39" t="n">
        <f aca="false">'Assumptions &amp; Data'!L678*'Assumptions &amp; Data'!M678</f>
        <v>313424</v>
      </c>
      <c r="S544" s="37" t="n">
        <f aca="false">'Assumptions &amp; Data'!Q678</f>
        <v>340000</v>
      </c>
      <c r="T544" s="37" t="n">
        <f aca="false">'Assumptions &amp; Data'!R678</f>
        <v>161742</v>
      </c>
      <c r="U544" s="37" t="n">
        <f aca="false">'Assumptions &amp; Data'!S678</f>
        <v>173531</v>
      </c>
      <c r="V544" s="39" t="n">
        <f aca="false">Q544-R544-S544-T544-U544</f>
        <v>-428066.73968402</v>
      </c>
      <c r="W544" s="39" t="n">
        <f aca="false">DAY(EOMONTH(C544,0))</f>
        <v>31</v>
      </c>
      <c r="X544" s="40" t="n">
        <f aca="false">E544/W544</f>
        <v>421.096774193548</v>
      </c>
      <c r="Y544" s="39" t="n">
        <f aca="false">R544+S544+T544+U544</f>
        <v>988697</v>
      </c>
    </row>
    <row r="545" customFormat="false" ht="15" hidden="false" customHeight="false" outlineLevel="0" collapsed="false">
      <c r="A545" s="37" t="str">
        <f aca="false">'Assumptions &amp; Data'!A679</f>
        <v>SM0475</v>
      </c>
      <c r="B545" s="37" t="str">
        <f aca="false">'Assumptions &amp; Data'!B679</f>
        <v>DS040</v>
      </c>
      <c r="C545" s="38" t="n">
        <f aca="false">'Assumptions &amp; Data'!C679</f>
        <v>46113</v>
      </c>
      <c r="D545" s="39" t="str">
        <f aca="false">INDEX('Assumptions &amp; Data'!$B$142:$B$201,MATCH(B545,'Assumptions &amp; Data'!$A$142:$A$201,0))</f>
        <v>Hyderabad</v>
      </c>
      <c r="E545" s="37" t="n">
        <f aca="false">'Assumptions &amp; Data'!D679</f>
        <v>13918</v>
      </c>
      <c r="F545" s="39" t="n">
        <f aca="false">E545*'Assumptions &amp; Data'!E679</f>
        <v>8594365</v>
      </c>
      <c r="G545" s="39" t="n">
        <f aca="false">F545*'Assumptions &amp; Data'!F679</f>
        <v>763179.612</v>
      </c>
      <c r="H545" s="39" t="n">
        <f aca="false">F545-G545</f>
        <v>7831185.388</v>
      </c>
      <c r="I545" s="39" t="n">
        <f aca="false">H545*'Assumptions &amp; Data'!G679</f>
        <v>1299193.6558692</v>
      </c>
      <c r="J545" s="39" t="n">
        <f aca="false">E545*'Assumptions &amp; Data'!H679</f>
        <v>167155.18</v>
      </c>
      <c r="K545" s="39" t="n">
        <f aca="false">H545*'Assumptions &amp; Data'!I679</f>
        <v>157406.8262988</v>
      </c>
      <c r="L545" s="39" t="n">
        <f aca="false">H545*'Assumptions &amp; Data'!J679</f>
        <v>259995.3548816</v>
      </c>
      <c r="M545" s="39" t="n">
        <f aca="false">I545+J545+K545-L545</f>
        <v>1363760.3072864</v>
      </c>
      <c r="N545" s="39" t="n">
        <f aca="false">E545*'Assumptions &amp; Data'!N679</f>
        <v>562287.2</v>
      </c>
      <c r="O545" s="39" t="n">
        <f aca="false">E545*'Assumptions &amp; Data'!O679</f>
        <v>139597.54</v>
      </c>
      <c r="P545" s="39" t="n">
        <f aca="false">H545*'Assumptions &amp; Data'!P679</f>
        <v>79878.0909576</v>
      </c>
      <c r="Q545" s="39" t="n">
        <f aca="false">M545-N545-O545-P545</f>
        <v>581997.4763288</v>
      </c>
      <c r="R545" s="39" t="n">
        <f aca="false">'Assumptions &amp; Data'!L679*'Assumptions &amp; Data'!M679</f>
        <v>313696</v>
      </c>
      <c r="S545" s="37" t="n">
        <f aca="false">'Assumptions &amp; Data'!Q679</f>
        <v>340000</v>
      </c>
      <c r="T545" s="37" t="n">
        <f aca="false">'Assumptions &amp; Data'!R679</f>
        <v>160345</v>
      </c>
      <c r="U545" s="37" t="n">
        <f aca="false">'Assumptions &amp; Data'!S679</f>
        <v>161932</v>
      </c>
      <c r="V545" s="39" t="n">
        <f aca="false">Q545-R545-S545-T545-U545</f>
        <v>-393975.5236712</v>
      </c>
      <c r="W545" s="39" t="n">
        <f aca="false">DAY(EOMONTH(C545,0))</f>
        <v>30</v>
      </c>
      <c r="X545" s="40" t="n">
        <f aca="false">E545/W545</f>
        <v>463.933333333333</v>
      </c>
      <c r="Y545" s="39" t="n">
        <f aca="false">R545+S545+T545+U545</f>
        <v>975973</v>
      </c>
    </row>
    <row r="546" customFormat="false" ht="15" hidden="false" customHeight="false" outlineLevel="0" collapsed="false">
      <c r="A546" s="37" t="str">
        <f aca="false">'Assumptions &amp; Data'!A680</f>
        <v>SM0476</v>
      </c>
      <c r="B546" s="37" t="str">
        <f aca="false">'Assumptions &amp; Data'!B680</f>
        <v>DS040</v>
      </c>
      <c r="C546" s="38" t="n">
        <f aca="false">'Assumptions &amp; Data'!C680</f>
        <v>46143</v>
      </c>
      <c r="D546" s="39" t="str">
        <f aca="false">INDEX('Assumptions &amp; Data'!$B$142:$B$201,MATCH(B546,'Assumptions &amp; Data'!$A$142:$A$201,0))</f>
        <v>Hyderabad</v>
      </c>
      <c r="E546" s="37" t="n">
        <f aca="false">'Assumptions &amp; Data'!D680</f>
        <v>16642</v>
      </c>
      <c r="F546" s="39" t="n">
        <f aca="false">E546*'Assumptions &amp; Data'!E680</f>
        <v>10564341.6</v>
      </c>
      <c r="G546" s="39" t="n">
        <f aca="false">F546*'Assumptions &amp; Data'!F680</f>
        <v>931774.92912</v>
      </c>
      <c r="H546" s="39" t="n">
        <f aca="false">F546-G546</f>
        <v>9632566.67088</v>
      </c>
      <c r="I546" s="39" t="n">
        <f aca="false">H546*'Assumptions &amp; Data'!G680</f>
        <v>1567218.59735218</v>
      </c>
      <c r="J546" s="39" t="n">
        <f aca="false">E546*'Assumptions &amp; Data'!H680</f>
        <v>194045.72</v>
      </c>
      <c r="K546" s="39" t="n">
        <f aca="false">H546*'Assumptions &amp; Data'!I680</f>
        <v>209026.696758096</v>
      </c>
      <c r="L546" s="39" t="n">
        <f aca="false">H546*'Assumptions &amp; Data'!J680</f>
        <v>315948.186804864</v>
      </c>
      <c r="M546" s="39" t="n">
        <f aca="false">I546+J546+K546-L546</f>
        <v>1654342.82730541</v>
      </c>
      <c r="N546" s="39" t="n">
        <f aca="false">E546*'Assumptions &amp; Data'!N680</f>
        <v>652033.56</v>
      </c>
      <c r="O546" s="39" t="n">
        <f aca="false">E546*'Assumptions &amp; Data'!O680</f>
        <v>167252.1</v>
      </c>
      <c r="P546" s="39" t="n">
        <f aca="false">H546*'Assumptions &amp; Data'!P680</f>
        <v>97288.923375888</v>
      </c>
      <c r="Q546" s="39" t="n">
        <f aca="false">M546-N546-O546-P546</f>
        <v>737768.24392952</v>
      </c>
      <c r="R546" s="39" t="n">
        <f aca="false">'Assumptions &amp; Data'!L680*'Assumptions &amp; Data'!M680</f>
        <v>313984</v>
      </c>
      <c r="S546" s="37" t="n">
        <f aca="false">'Assumptions &amp; Data'!Q680</f>
        <v>340000</v>
      </c>
      <c r="T546" s="37" t="n">
        <f aca="false">'Assumptions &amp; Data'!R680</f>
        <v>168263</v>
      </c>
      <c r="U546" s="37" t="n">
        <f aca="false">'Assumptions &amp; Data'!S680</f>
        <v>185902</v>
      </c>
      <c r="V546" s="39" t="n">
        <f aca="false">Q546-R546-S546-T546-U546</f>
        <v>-270380.75607048</v>
      </c>
      <c r="W546" s="39" t="n">
        <f aca="false">DAY(EOMONTH(C546,0))</f>
        <v>31</v>
      </c>
      <c r="X546" s="40" t="n">
        <f aca="false">E546/W546</f>
        <v>536.838709677419</v>
      </c>
      <c r="Y546" s="39" t="n">
        <f aca="false">R546+S546+T546+U546</f>
        <v>1008149</v>
      </c>
    </row>
    <row r="547" customFormat="false" ht="15" hidden="false" customHeight="false" outlineLevel="0" collapsed="false">
      <c r="A547" s="37" t="str">
        <f aca="false">'Assumptions &amp; Data'!A681</f>
        <v>SM0477</v>
      </c>
      <c r="B547" s="37" t="str">
        <f aca="false">'Assumptions &amp; Data'!B681</f>
        <v>DS040</v>
      </c>
      <c r="C547" s="38" t="n">
        <f aca="false">'Assumptions &amp; Data'!C681</f>
        <v>46174</v>
      </c>
      <c r="D547" s="39" t="str">
        <f aca="false">INDEX('Assumptions &amp; Data'!$B$142:$B$201,MATCH(B547,'Assumptions &amp; Data'!$A$142:$A$201,0))</f>
        <v>Hyderabad</v>
      </c>
      <c r="E547" s="37" t="n">
        <f aca="false">'Assumptions &amp; Data'!D681</f>
        <v>16932</v>
      </c>
      <c r="F547" s="39" t="n">
        <f aca="false">E547*'Assumptions &amp; Data'!E681</f>
        <v>10604511.6</v>
      </c>
      <c r="G547" s="39" t="n">
        <f aca="false">F547*'Assumptions &amp; Data'!F681</f>
        <v>888658.07208</v>
      </c>
      <c r="H547" s="39" t="n">
        <f aca="false">F547-G547</f>
        <v>9715853.52792</v>
      </c>
      <c r="I547" s="39" t="n">
        <f aca="false">H547*'Assumptions &amp; Data'!G681</f>
        <v>1586598.88110934</v>
      </c>
      <c r="J547" s="39" t="n">
        <f aca="false">E547*'Assumptions &amp; Data'!H681</f>
        <v>200982.84</v>
      </c>
      <c r="K547" s="39" t="n">
        <f aca="false">H547*'Assumptions &amp; Data'!I681</f>
        <v>224436.216494952</v>
      </c>
      <c r="L547" s="39" t="n">
        <f aca="false">H547*'Assumptions &amp; Data'!J681</f>
        <v>306049.38612948</v>
      </c>
      <c r="M547" s="39" t="n">
        <f aca="false">I547+J547+K547-L547</f>
        <v>1705968.55147481</v>
      </c>
      <c r="N547" s="39" t="n">
        <f aca="false">E547*'Assumptions &amp; Data'!N681</f>
        <v>668983.32</v>
      </c>
      <c r="O547" s="39" t="n">
        <f aca="false">E547*'Assumptions &amp; Data'!O681</f>
        <v>162716.52</v>
      </c>
      <c r="P547" s="39" t="n">
        <f aca="false">H547*'Assumptions &amp; Data'!P681</f>
        <v>93272.193868032</v>
      </c>
      <c r="Q547" s="39" t="n">
        <f aca="false">M547-N547-O547-P547</f>
        <v>780996.517606776</v>
      </c>
      <c r="R547" s="39" t="n">
        <f aca="false">'Assumptions &amp; Data'!L681*'Assumptions &amp; Data'!M681</f>
        <v>314272</v>
      </c>
      <c r="S547" s="37" t="n">
        <f aca="false">'Assumptions &amp; Data'!Q681</f>
        <v>340000</v>
      </c>
      <c r="T547" s="37" t="n">
        <f aca="false">'Assumptions &amp; Data'!R681</f>
        <v>169439</v>
      </c>
      <c r="U547" s="37" t="n">
        <f aca="false">'Assumptions &amp; Data'!S681</f>
        <v>172659</v>
      </c>
      <c r="V547" s="39" t="n">
        <f aca="false">Q547-R547-S547-T547-U547</f>
        <v>-215373.482393224</v>
      </c>
      <c r="W547" s="39" t="n">
        <f aca="false">DAY(EOMONTH(C547,0))</f>
        <v>30</v>
      </c>
      <c r="X547" s="40" t="n">
        <f aca="false">E547/W547</f>
        <v>564.4</v>
      </c>
      <c r="Y547" s="39" t="n">
        <f aca="false">R547+S547+T547+U547</f>
        <v>996370</v>
      </c>
    </row>
    <row r="548" customFormat="false" ht="15" hidden="false" customHeight="false" outlineLevel="0" collapsed="false">
      <c r="A548" s="37" t="str">
        <f aca="false">'Assumptions &amp; Data'!A682</f>
        <v>SM0478</v>
      </c>
      <c r="B548" s="37" t="str">
        <f aca="false">'Assumptions &amp; Data'!B682</f>
        <v>DS040</v>
      </c>
      <c r="C548" s="38" t="n">
        <f aca="false">'Assumptions &amp; Data'!C682</f>
        <v>46204</v>
      </c>
      <c r="D548" s="39" t="str">
        <f aca="false">INDEX('Assumptions &amp; Data'!$B$142:$B$201,MATCH(B548,'Assumptions &amp; Data'!$A$142:$A$201,0))</f>
        <v>Hyderabad</v>
      </c>
      <c r="E548" s="37" t="n">
        <f aca="false">'Assumptions &amp; Data'!D682</f>
        <v>18518</v>
      </c>
      <c r="F548" s="39" t="n">
        <f aca="false">E548*'Assumptions &amp; Data'!E682</f>
        <v>11595971.6</v>
      </c>
      <c r="G548" s="39" t="n">
        <f aca="false">F548*'Assumptions &amp; Data'!F682</f>
        <v>982178.79452</v>
      </c>
      <c r="H548" s="39" t="n">
        <f aca="false">F548-G548</f>
        <v>10613792.80548</v>
      </c>
      <c r="I548" s="39" t="n">
        <f aca="false">H548*'Assumptions &amp; Data'!G682</f>
        <v>1706697.88312118</v>
      </c>
      <c r="J548" s="39" t="n">
        <f aca="false">E548*'Assumptions &amp; Data'!H682</f>
        <v>207957.14</v>
      </c>
      <c r="K548" s="39" t="n">
        <f aca="false">H548*'Assumptions &amp; Data'!I682</f>
        <v>233503.44172056</v>
      </c>
      <c r="L548" s="39" t="n">
        <f aca="false">H548*'Assumptions &amp; Data'!J682</f>
        <v>331150.335530976</v>
      </c>
      <c r="M548" s="39" t="n">
        <f aca="false">I548+J548+K548-L548</f>
        <v>1817008.12931077</v>
      </c>
      <c r="N548" s="39" t="n">
        <f aca="false">E548*'Assumptions &amp; Data'!N682</f>
        <v>711461.56</v>
      </c>
      <c r="O548" s="39" t="n">
        <f aca="false">E548*'Assumptions &amp; Data'!O682</f>
        <v>174995.1</v>
      </c>
      <c r="P548" s="39" t="n">
        <f aca="false">H548*'Assumptions &amp; Data'!P682</f>
        <v>107199.307335348</v>
      </c>
      <c r="Q548" s="39" t="n">
        <f aca="false">M548-N548-O548-P548</f>
        <v>823352.16197542</v>
      </c>
      <c r="R548" s="39" t="n">
        <f aca="false">'Assumptions &amp; Data'!L682*'Assumptions &amp; Data'!M682</f>
        <v>314560</v>
      </c>
      <c r="S548" s="37" t="n">
        <f aca="false">'Assumptions &amp; Data'!Q682</f>
        <v>340000</v>
      </c>
      <c r="T548" s="37" t="n">
        <f aca="false">'Assumptions &amp; Data'!R682</f>
        <v>164421</v>
      </c>
      <c r="U548" s="37" t="n">
        <f aca="false">'Assumptions &amp; Data'!S682</f>
        <v>175728</v>
      </c>
      <c r="V548" s="39" t="n">
        <f aca="false">Q548-R548-S548-T548-U548</f>
        <v>-171356.83802458</v>
      </c>
      <c r="W548" s="39" t="n">
        <f aca="false">DAY(EOMONTH(C548,0))</f>
        <v>31</v>
      </c>
      <c r="X548" s="40" t="n">
        <f aca="false">E548/W548</f>
        <v>597.354838709677</v>
      </c>
      <c r="Y548" s="39" t="n">
        <f aca="false">R548+S548+T548+U548</f>
        <v>994709</v>
      </c>
    </row>
    <row r="549" customFormat="false" ht="15" hidden="false" customHeight="false" outlineLevel="0" collapsed="false">
      <c r="A549" s="37" t="str">
        <f aca="false">'Assumptions &amp; Data'!A683</f>
        <v>SM0479</v>
      </c>
      <c r="B549" s="37" t="str">
        <f aca="false">'Assumptions &amp; Data'!B683</f>
        <v>DS040</v>
      </c>
      <c r="C549" s="38" t="n">
        <f aca="false">'Assumptions &amp; Data'!C683</f>
        <v>46235</v>
      </c>
      <c r="D549" s="39" t="str">
        <f aca="false">INDEX('Assumptions &amp; Data'!$B$142:$B$201,MATCH(B549,'Assumptions &amp; Data'!$A$142:$A$201,0))</f>
        <v>Hyderabad</v>
      </c>
      <c r="E549" s="37" t="n">
        <f aca="false">'Assumptions &amp; Data'!D683</f>
        <v>19434</v>
      </c>
      <c r="F549" s="39" t="n">
        <f aca="false">E549*'Assumptions &amp; Data'!E683</f>
        <v>12464967.6</v>
      </c>
      <c r="G549" s="39" t="n">
        <f aca="false">F549*'Assumptions &amp; Data'!F683</f>
        <v>1034592.3108</v>
      </c>
      <c r="H549" s="39" t="n">
        <f aca="false">F549-G549</f>
        <v>11430375.2892</v>
      </c>
      <c r="I549" s="39" t="n">
        <f aca="false">H549*'Assumptions &amp; Data'!G683</f>
        <v>1843719.53414796</v>
      </c>
      <c r="J549" s="39" t="n">
        <f aca="false">E549*'Assumptions &amp; Data'!H683</f>
        <v>222130.62</v>
      </c>
      <c r="K549" s="39" t="n">
        <f aca="false">H549*'Assumptions &amp; Data'!I683</f>
        <v>265184.70670944</v>
      </c>
      <c r="L549" s="39" t="n">
        <f aca="false">H549*'Assumptions &amp; Data'!J683</f>
        <v>361199.85913872</v>
      </c>
      <c r="M549" s="39" t="n">
        <f aca="false">I549+J549+K549-L549</f>
        <v>1969835.00171868</v>
      </c>
      <c r="N549" s="39" t="n">
        <f aca="false">E549*'Assumptions &amp; Data'!N683</f>
        <v>765893.94</v>
      </c>
      <c r="O549" s="39" t="n">
        <f aca="false">E549*'Assumptions &amp; Data'!O683</f>
        <v>192590.94</v>
      </c>
      <c r="P549" s="39" t="n">
        <f aca="false">H549*'Assumptions &amp; Data'!P683</f>
        <v>115446.79042092</v>
      </c>
      <c r="Q549" s="39" t="n">
        <f aca="false">M549-N549-O549-P549</f>
        <v>895903.33129776</v>
      </c>
      <c r="R549" s="39" t="n">
        <f aca="false">'Assumptions &amp; Data'!L683*'Assumptions &amp; Data'!M683</f>
        <v>314832</v>
      </c>
      <c r="S549" s="37" t="n">
        <f aca="false">'Assumptions &amp; Data'!Q683</f>
        <v>340000</v>
      </c>
      <c r="T549" s="37" t="n">
        <f aca="false">'Assumptions &amp; Data'!R683</f>
        <v>159614</v>
      </c>
      <c r="U549" s="37" t="n">
        <f aca="false">'Assumptions &amp; Data'!S683</f>
        <v>182411</v>
      </c>
      <c r="V549" s="39" t="n">
        <f aca="false">Q549-R549-S549-T549-U549</f>
        <v>-100953.66870224</v>
      </c>
      <c r="W549" s="39" t="n">
        <f aca="false">DAY(EOMONTH(C549,0))</f>
        <v>31</v>
      </c>
      <c r="X549" s="40" t="n">
        <f aca="false">E549/W549</f>
        <v>626.903225806452</v>
      </c>
      <c r="Y549" s="39" t="n">
        <f aca="false">R549+S549+T549+U549</f>
        <v>996857</v>
      </c>
    </row>
    <row r="550" customFormat="false" ht="15" hidden="false" customHeight="false" outlineLevel="0" collapsed="false">
      <c r="A550" s="37" t="str">
        <f aca="false">'Assumptions &amp; Data'!A684</f>
        <v>SM0480</v>
      </c>
      <c r="B550" s="37" t="str">
        <f aca="false">'Assumptions &amp; Data'!B684</f>
        <v>DS040</v>
      </c>
      <c r="C550" s="38" t="n">
        <f aca="false">'Assumptions &amp; Data'!C684</f>
        <v>46266</v>
      </c>
      <c r="D550" s="39" t="str">
        <f aca="false">INDEX('Assumptions &amp; Data'!$B$142:$B$201,MATCH(B550,'Assumptions &amp; Data'!$A$142:$A$201,0))</f>
        <v>Hyderabad</v>
      </c>
      <c r="E550" s="37" t="n">
        <f aca="false">'Assumptions &amp; Data'!D684</f>
        <v>21900</v>
      </c>
      <c r="F550" s="39" t="n">
        <f aca="false">E550*'Assumptions &amp; Data'!E684</f>
        <v>13422510</v>
      </c>
      <c r="G550" s="39" t="n">
        <f aca="false">F550*'Assumptions &amp; Data'!F684</f>
        <v>1106014.824</v>
      </c>
      <c r="H550" s="39" t="n">
        <f aca="false">F550-G550</f>
        <v>12316495.176</v>
      </c>
      <c r="I550" s="39" t="n">
        <f aca="false">H550*'Assumptions &amp; Data'!G684</f>
        <v>2051928.0963216</v>
      </c>
      <c r="J550" s="39" t="n">
        <f aca="false">E550*'Assumptions &amp; Data'!H684</f>
        <v>259077</v>
      </c>
      <c r="K550" s="39" t="n">
        <f aca="false">H550*'Assumptions &amp; Data'!I684</f>
        <v>316533.9260232</v>
      </c>
      <c r="L550" s="39" t="n">
        <f aca="false">H550*'Assumptions &amp; Data'!J684</f>
        <v>339935.2668576</v>
      </c>
      <c r="M550" s="39" t="n">
        <f aca="false">I550+J550+K550-L550</f>
        <v>2287603.7554872</v>
      </c>
      <c r="N550" s="39" t="n">
        <f aca="false">E550*'Assumptions &amp; Data'!N684</f>
        <v>828477</v>
      </c>
      <c r="O550" s="39" t="n">
        <f aca="false">E550*'Assumptions &amp; Data'!O684</f>
        <v>217029</v>
      </c>
      <c r="P550" s="39" t="n">
        <f aca="false">H550*'Assumptions &amp; Data'!P684</f>
        <v>121933.3022424</v>
      </c>
      <c r="Q550" s="39" t="n">
        <f aca="false">M550-N550-O550-P550</f>
        <v>1120164.4532448</v>
      </c>
      <c r="R550" s="39" t="n">
        <f aca="false">'Assumptions &amp; Data'!L684*'Assumptions &amp; Data'!M684</f>
        <v>354510</v>
      </c>
      <c r="S550" s="37" t="n">
        <f aca="false">'Assumptions &amp; Data'!Q684</f>
        <v>340000</v>
      </c>
      <c r="T550" s="37" t="n">
        <f aca="false">'Assumptions &amp; Data'!R684</f>
        <v>162611</v>
      </c>
      <c r="U550" s="37" t="n">
        <f aca="false">'Assumptions &amp; Data'!S684</f>
        <v>180009</v>
      </c>
      <c r="V550" s="39" t="n">
        <f aca="false">Q550-R550-S550-T550-U550</f>
        <v>83034.4532448</v>
      </c>
      <c r="W550" s="39" t="n">
        <f aca="false">DAY(EOMONTH(C550,0))</f>
        <v>30</v>
      </c>
      <c r="X550" s="40" t="n">
        <f aca="false">E550/W550</f>
        <v>730</v>
      </c>
      <c r="Y550" s="39" t="n">
        <f aca="false">R550+S550+T550+U550</f>
        <v>1037130</v>
      </c>
    </row>
    <row r="551" customFormat="false" ht="15" hidden="false" customHeight="false" outlineLevel="0" collapsed="false">
      <c r="A551" s="37" t="str">
        <f aca="false">'Assumptions &amp; Data'!A685</f>
        <v>SM0481</v>
      </c>
      <c r="B551" s="37" t="str">
        <f aca="false">'Assumptions &amp; Data'!B685</f>
        <v>DS041</v>
      </c>
      <c r="C551" s="38" t="n">
        <f aca="false">'Assumptions &amp; Data'!C685</f>
        <v>45931</v>
      </c>
      <c r="D551" s="39" t="str">
        <f aca="false">INDEX('Assumptions &amp; Data'!$B$142:$B$201,MATCH(B551,'Assumptions &amp; Data'!$A$142:$A$201,0))</f>
        <v>Hyderabad</v>
      </c>
      <c r="E551" s="37" t="n">
        <f aca="false">'Assumptions &amp; Data'!D685</f>
        <v>1606</v>
      </c>
      <c r="F551" s="39" t="n">
        <f aca="false">E551*'Assumptions &amp; Data'!E685</f>
        <v>910602</v>
      </c>
      <c r="G551" s="39" t="n">
        <f aca="false">F551*'Assumptions &amp; Data'!F685</f>
        <v>83502.2034</v>
      </c>
      <c r="H551" s="39" t="n">
        <f aca="false">F551-G551</f>
        <v>827099.7966</v>
      </c>
      <c r="I551" s="39" t="n">
        <f aca="false">H551*'Assumptions &amp; Data'!G685</f>
        <v>144825.17438466</v>
      </c>
      <c r="J551" s="39" t="n">
        <f aca="false">E551*'Assumptions &amp; Data'!H685</f>
        <v>19657.44</v>
      </c>
      <c r="K551" s="39" t="n">
        <f aca="false">H551*'Assumptions &amp; Data'!I685</f>
        <v>13150.88676594</v>
      </c>
      <c r="L551" s="39" t="n">
        <f aca="false">H551*'Assumptions &amp; Data'!J685</f>
        <v>33083.991864</v>
      </c>
      <c r="M551" s="39" t="n">
        <f aca="false">I551+J551+K551-L551</f>
        <v>144549.5092866</v>
      </c>
      <c r="N551" s="39" t="n">
        <f aca="false">E551*'Assumptions &amp; Data'!N685</f>
        <v>69202.54</v>
      </c>
      <c r="O551" s="39" t="n">
        <f aca="false">E551*'Assumptions &amp; Data'!O685</f>
        <v>15224.88</v>
      </c>
      <c r="P551" s="39" t="n">
        <f aca="false">H551*'Assumptions &amp; Data'!P685</f>
        <v>8601.83788464</v>
      </c>
      <c r="Q551" s="39" t="n">
        <f aca="false">M551-N551-O551-P551</f>
        <v>51520.25140196</v>
      </c>
      <c r="R551" s="39" t="n">
        <f aca="false">'Assumptions &amp; Data'!L685*'Assumptions &amp; Data'!M685</f>
        <v>312000</v>
      </c>
      <c r="S551" s="37" t="n">
        <f aca="false">'Assumptions &amp; Data'!Q685</f>
        <v>635000</v>
      </c>
      <c r="T551" s="37" t="n">
        <f aca="false">'Assumptions &amp; Data'!R685</f>
        <v>192834</v>
      </c>
      <c r="U551" s="37" t="n">
        <f aca="false">'Assumptions &amp; Data'!S685</f>
        <v>27341</v>
      </c>
      <c r="V551" s="39" t="n">
        <f aca="false">Q551-R551-S551-T551-U551</f>
        <v>-1115654.74859804</v>
      </c>
      <c r="W551" s="39" t="n">
        <f aca="false">DAY(EOMONTH(C551,0))</f>
        <v>31</v>
      </c>
      <c r="X551" s="40" t="n">
        <f aca="false">E551/W551</f>
        <v>51.8064516129032</v>
      </c>
      <c r="Y551" s="39" t="n">
        <f aca="false">R551+S551+T551+U551</f>
        <v>1167175</v>
      </c>
    </row>
    <row r="552" customFormat="false" ht="15" hidden="false" customHeight="false" outlineLevel="0" collapsed="false">
      <c r="A552" s="37" t="str">
        <f aca="false">'Assumptions &amp; Data'!A686</f>
        <v>SM0482</v>
      </c>
      <c r="B552" s="37" t="str">
        <f aca="false">'Assumptions &amp; Data'!B686</f>
        <v>DS041</v>
      </c>
      <c r="C552" s="38" t="n">
        <f aca="false">'Assumptions &amp; Data'!C686</f>
        <v>45962</v>
      </c>
      <c r="D552" s="39" t="str">
        <f aca="false">INDEX('Assumptions &amp; Data'!$B$142:$B$201,MATCH(B552,'Assumptions &amp; Data'!$A$142:$A$201,0))</f>
        <v>Hyderabad</v>
      </c>
      <c r="E552" s="37" t="n">
        <f aca="false">'Assumptions &amp; Data'!D686</f>
        <v>1692</v>
      </c>
      <c r="F552" s="39" t="n">
        <f aca="false">E552*'Assumptions &amp; Data'!E686</f>
        <v>971208</v>
      </c>
      <c r="G552" s="39" t="n">
        <f aca="false">F552*'Assumptions &amp; Data'!F686</f>
        <v>87700.0824</v>
      </c>
      <c r="H552" s="39" t="n">
        <f aca="false">F552-G552</f>
        <v>883507.9176</v>
      </c>
      <c r="I552" s="39" t="n">
        <f aca="false">H552*'Assumptions &amp; Data'!G686</f>
        <v>149666.24124144</v>
      </c>
      <c r="J552" s="39" t="n">
        <f aca="false">E552*'Assumptions &amp; Data'!H686</f>
        <v>20980.8</v>
      </c>
      <c r="K552" s="39" t="n">
        <f aca="false">H552*'Assumptions &amp; Data'!I686</f>
        <v>15107.98539096</v>
      </c>
      <c r="L552" s="39" t="n">
        <f aca="false">H552*'Assumptions &amp; Data'!J686</f>
        <v>34191.75641112</v>
      </c>
      <c r="M552" s="39" t="n">
        <f aca="false">I552+J552+K552-L552</f>
        <v>151563.27022128</v>
      </c>
      <c r="N552" s="39" t="n">
        <f aca="false">E552*'Assumptions &amp; Data'!N686</f>
        <v>71960.76</v>
      </c>
      <c r="O552" s="39" t="n">
        <f aca="false">E552*'Assumptions &amp; Data'!O686</f>
        <v>16310.88</v>
      </c>
      <c r="P552" s="39" t="n">
        <f aca="false">H552*'Assumptions &amp; Data'!P686</f>
        <v>8746.72838424</v>
      </c>
      <c r="Q552" s="39" t="n">
        <f aca="false">M552-N552-O552-P552</f>
        <v>54544.90183704</v>
      </c>
      <c r="R552" s="39" t="n">
        <f aca="false">'Assumptions &amp; Data'!L686*'Assumptions &amp; Data'!M686</f>
        <v>312288</v>
      </c>
      <c r="S552" s="37" t="n">
        <f aca="false">'Assumptions &amp; Data'!Q686</f>
        <v>635000</v>
      </c>
      <c r="T552" s="37" t="n">
        <f aca="false">'Assumptions &amp; Data'!R686</f>
        <v>186375</v>
      </c>
      <c r="U552" s="37" t="n">
        <f aca="false">'Assumptions &amp; Data'!S686</f>
        <v>30359</v>
      </c>
      <c r="V552" s="39" t="n">
        <f aca="false">Q552-R552-S552-T552-U552</f>
        <v>-1109477.09816296</v>
      </c>
      <c r="W552" s="39" t="n">
        <f aca="false">DAY(EOMONTH(C552,0))</f>
        <v>30</v>
      </c>
      <c r="X552" s="40" t="n">
        <f aca="false">E552/W552</f>
        <v>56.4</v>
      </c>
      <c r="Y552" s="39" t="n">
        <f aca="false">R552+S552+T552+U552</f>
        <v>1164022</v>
      </c>
    </row>
    <row r="553" customFormat="false" ht="15" hidden="false" customHeight="false" outlineLevel="0" collapsed="false">
      <c r="A553" s="37" t="str">
        <f aca="false">'Assumptions &amp; Data'!A687</f>
        <v>SM0483</v>
      </c>
      <c r="B553" s="37" t="str">
        <f aca="false">'Assumptions &amp; Data'!B687</f>
        <v>DS041</v>
      </c>
      <c r="C553" s="38" t="n">
        <f aca="false">'Assumptions &amp; Data'!C687</f>
        <v>45992</v>
      </c>
      <c r="D553" s="39" t="str">
        <f aca="false">INDEX('Assumptions &amp; Data'!$B$142:$B$201,MATCH(B553,'Assumptions &amp; Data'!$A$142:$A$201,0))</f>
        <v>Hyderabad</v>
      </c>
      <c r="E553" s="37" t="n">
        <f aca="false">'Assumptions &amp; Data'!D687</f>
        <v>1602</v>
      </c>
      <c r="F553" s="39" t="n">
        <f aca="false">E553*'Assumptions &amp; Data'!E687</f>
        <v>906571.8</v>
      </c>
      <c r="G553" s="39" t="n">
        <f aca="false">F553*'Assumptions &amp; Data'!F687</f>
        <v>82770.00534</v>
      </c>
      <c r="H553" s="39" t="n">
        <f aca="false">F553-G553</f>
        <v>823801.79466</v>
      </c>
      <c r="I553" s="39" t="n">
        <f aca="false">H553*'Assumptions &amp; Data'!G687</f>
        <v>140952.487066326</v>
      </c>
      <c r="J553" s="39" t="n">
        <f aca="false">E553*'Assumptions &amp; Data'!H687</f>
        <v>20105.1</v>
      </c>
      <c r="K553" s="39" t="n">
        <f aca="false">H553*'Assumptions &amp; Data'!I687</f>
        <v>14251.771047618</v>
      </c>
      <c r="L553" s="39" t="n">
        <f aca="false">H553*'Assumptions &amp; Data'!J687</f>
        <v>32622.551068536</v>
      </c>
      <c r="M553" s="39" t="n">
        <f aca="false">I553+J553+K553-L553</f>
        <v>142686.807045408</v>
      </c>
      <c r="N553" s="39" t="n">
        <f aca="false">E553*'Assumptions &amp; Data'!N687</f>
        <v>68501.52</v>
      </c>
      <c r="O553" s="39" t="n">
        <f aca="false">E553*'Assumptions &amp; Data'!O687</f>
        <v>15683.58</v>
      </c>
      <c r="P553" s="39" t="n">
        <f aca="false">H553*'Assumptions &amp; Data'!P687</f>
        <v>8402.778305532</v>
      </c>
      <c r="Q553" s="39" t="n">
        <f aca="false">M553-N553-O553-P553</f>
        <v>50098.928739876</v>
      </c>
      <c r="R553" s="39" t="n">
        <f aca="false">'Assumptions &amp; Data'!L687*'Assumptions &amp; Data'!M687</f>
        <v>312560</v>
      </c>
      <c r="S553" s="37" t="n">
        <f aca="false">'Assumptions &amp; Data'!Q687</f>
        <v>635000</v>
      </c>
      <c r="T553" s="37" t="n">
        <f aca="false">'Assumptions &amp; Data'!R687</f>
        <v>197683</v>
      </c>
      <c r="U553" s="37" t="n">
        <f aca="false">'Assumptions &amp; Data'!S687</f>
        <v>27255</v>
      </c>
      <c r="V553" s="39" t="n">
        <f aca="false">Q553-R553-S553-T553-U553</f>
        <v>-1122399.07126012</v>
      </c>
      <c r="W553" s="39" t="n">
        <f aca="false">DAY(EOMONTH(C553,0))</f>
        <v>31</v>
      </c>
      <c r="X553" s="40" t="n">
        <f aca="false">E553/W553</f>
        <v>51.6774193548387</v>
      </c>
      <c r="Y553" s="39" t="n">
        <f aca="false">R553+S553+T553+U553</f>
        <v>1172498</v>
      </c>
    </row>
    <row r="554" customFormat="false" ht="15" hidden="false" customHeight="false" outlineLevel="0" collapsed="false">
      <c r="A554" s="37" t="str">
        <f aca="false">'Assumptions &amp; Data'!A688</f>
        <v>SM0484</v>
      </c>
      <c r="B554" s="37" t="str">
        <f aca="false">'Assumptions &amp; Data'!B688</f>
        <v>DS041</v>
      </c>
      <c r="C554" s="38" t="n">
        <f aca="false">'Assumptions &amp; Data'!C688</f>
        <v>46023</v>
      </c>
      <c r="D554" s="39" t="str">
        <f aca="false">INDEX('Assumptions &amp; Data'!$B$142:$B$201,MATCH(B554,'Assumptions &amp; Data'!$A$142:$A$201,0))</f>
        <v>Hyderabad</v>
      </c>
      <c r="E554" s="37" t="n">
        <f aca="false">'Assumptions &amp; Data'!D688</f>
        <v>1541</v>
      </c>
      <c r="F554" s="39" t="n">
        <f aca="false">E554*'Assumptions &amp; Data'!E688</f>
        <v>892239</v>
      </c>
      <c r="G554" s="39" t="n">
        <f aca="false">F554*'Assumptions &amp; Data'!F688</f>
        <v>77892.4647</v>
      </c>
      <c r="H554" s="39" t="n">
        <f aca="false">F554-G554</f>
        <v>814346.5353</v>
      </c>
      <c r="I554" s="39" t="n">
        <f aca="false">H554*'Assumptions &amp; Data'!G688</f>
        <v>138846.08426865</v>
      </c>
      <c r="J554" s="39" t="n">
        <f aca="false">E554*'Assumptions &amp; Data'!H688</f>
        <v>18307.08</v>
      </c>
      <c r="K554" s="39" t="n">
        <f aca="false">H554*'Assumptions &amp; Data'!I688</f>
        <v>13518.15248598</v>
      </c>
      <c r="L554" s="39" t="n">
        <f aca="false">H554*'Assumptions &amp; Data'!J688</f>
        <v>32492.42675847</v>
      </c>
      <c r="M554" s="39" t="n">
        <f aca="false">I554+J554+K554-L554</f>
        <v>138178.88999616</v>
      </c>
      <c r="N554" s="39" t="n">
        <f aca="false">E554*'Assumptions &amp; Data'!N688</f>
        <v>66139.72</v>
      </c>
      <c r="O554" s="39" t="n">
        <f aca="false">E554*'Assumptions &amp; Data'!O688</f>
        <v>15101.8</v>
      </c>
      <c r="P554" s="39" t="n">
        <f aca="false">H554*'Assumptions &amp; Data'!P688</f>
        <v>8306.33466006</v>
      </c>
      <c r="Q554" s="39" t="n">
        <f aca="false">M554-N554-O554-P554</f>
        <v>48631.0353361</v>
      </c>
      <c r="R554" s="39" t="n">
        <f aca="false">'Assumptions &amp; Data'!L688*'Assumptions &amp; Data'!M688</f>
        <v>312848</v>
      </c>
      <c r="S554" s="37" t="n">
        <f aca="false">'Assumptions &amp; Data'!Q688</f>
        <v>635000</v>
      </c>
      <c r="T554" s="37" t="n">
        <f aca="false">'Assumptions &amp; Data'!R688</f>
        <v>192897</v>
      </c>
      <c r="U554" s="37" t="n">
        <f aca="false">'Assumptions &amp; Data'!S688</f>
        <v>27061</v>
      </c>
      <c r="V554" s="39" t="n">
        <f aca="false">Q554-R554-S554-T554-U554</f>
        <v>-1119174.9646639</v>
      </c>
      <c r="W554" s="39" t="n">
        <f aca="false">DAY(EOMONTH(C554,0))</f>
        <v>31</v>
      </c>
      <c r="X554" s="40" t="n">
        <f aca="false">E554/W554</f>
        <v>49.7096774193548</v>
      </c>
      <c r="Y554" s="39" t="n">
        <f aca="false">R554+S554+T554+U554</f>
        <v>1167806</v>
      </c>
    </row>
    <row r="555" customFormat="false" ht="15" hidden="false" customHeight="false" outlineLevel="0" collapsed="false">
      <c r="A555" s="37" t="str">
        <f aca="false">'Assumptions &amp; Data'!A689</f>
        <v>SM0485</v>
      </c>
      <c r="B555" s="37" t="str">
        <f aca="false">'Assumptions &amp; Data'!B689</f>
        <v>DS041</v>
      </c>
      <c r="C555" s="38" t="n">
        <f aca="false">'Assumptions &amp; Data'!C689</f>
        <v>46054</v>
      </c>
      <c r="D555" s="39" t="str">
        <f aca="false">INDEX('Assumptions &amp; Data'!$B$142:$B$201,MATCH(B555,'Assumptions &amp; Data'!$A$142:$A$201,0))</f>
        <v>Hyderabad</v>
      </c>
      <c r="E555" s="37" t="n">
        <f aca="false">'Assumptions &amp; Data'!D689</f>
        <v>1355</v>
      </c>
      <c r="F555" s="39" t="n">
        <f aca="false">E555*'Assumptions &amp; Data'!E689</f>
        <v>780209</v>
      </c>
      <c r="G555" s="39" t="n">
        <f aca="false">F555*'Assumptions &amp; Data'!F689</f>
        <v>69282.5592</v>
      </c>
      <c r="H555" s="39" t="n">
        <f aca="false">F555-G555</f>
        <v>710926.4408</v>
      </c>
      <c r="I555" s="39" t="n">
        <f aca="false">H555*'Assumptions &amp; Data'!G689</f>
        <v>121710.60666496</v>
      </c>
      <c r="J555" s="39" t="n">
        <f aca="false">E555*'Assumptions &amp; Data'!H689</f>
        <v>15731.55</v>
      </c>
      <c r="K555" s="39" t="n">
        <f aca="false">H555*'Assumptions &amp; Data'!I689</f>
        <v>10877.17454424</v>
      </c>
      <c r="L555" s="39" t="n">
        <f aca="false">H555*'Assumptions &amp; Data'!J689</f>
        <v>28365.96498792</v>
      </c>
      <c r="M555" s="39" t="n">
        <f aca="false">I555+J555+K555-L555</f>
        <v>119953.36622128</v>
      </c>
      <c r="N555" s="39" t="n">
        <f aca="false">E555*'Assumptions &amp; Data'!N689</f>
        <v>57926.25</v>
      </c>
      <c r="O555" s="39" t="n">
        <f aca="false">E555*'Assumptions &amp; Data'!O689</f>
        <v>13346.75</v>
      </c>
      <c r="P555" s="39" t="n">
        <f aca="false">H555*'Assumptions &amp; Data'!P689</f>
        <v>7464.7276284</v>
      </c>
      <c r="Q555" s="39" t="n">
        <f aca="false">M555-N555-O555-P555</f>
        <v>41215.63859288</v>
      </c>
      <c r="R555" s="39" t="n">
        <f aca="false">'Assumptions &amp; Data'!L689*'Assumptions &amp; Data'!M689</f>
        <v>313136</v>
      </c>
      <c r="S555" s="37" t="n">
        <f aca="false">'Assumptions &amp; Data'!Q689</f>
        <v>635000</v>
      </c>
      <c r="T555" s="37" t="n">
        <f aca="false">'Assumptions &amp; Data'!R689</f>
        <v>186127</v>
      </c>
      <c r="U555" s="37" t="n">
        <f aca="false">'Assumptions &amp; Data'!S689</f>
        <v>24316</v>
      </c>
      <c r="V555" s="39" t="n">
        <f aca="false">Q555-R555-S555-T555-U555</f>
        <v>-1117363.36140712</v>
      </c>
      <c r="W555" s="39" t="n">
        <f aca="false">DAY(EOMONTH(C555,0))</f>
        <v>28</v>
      </c>
      <c r="X555" s="40" t="n">
        <f aca="false">E555/W555</f>
        <v>48.3928571428571</v>
      </c>
      <c r="Y555" s="39" t="n">
        <f aca="false">R555+S555+T555+U555</f>
        <v>1158579</v>
      </c>
    </row>
    <row r="556" customFormat="false" ht="15" hidden="false" customHeight="false" outlineLevel="0" collapsed="false">
      <c r="A556" s="37" t="str">
        <f aca="false">'Assumptions &amp; Data'!A690</f>
        <v>SM0486</v>
      </c>
      <c r="B556" s="37" t="str">
        <f aca="false">'Assumptions &amp; Data'!B690</f>
        <v>DS041</v>
      </c>
      <c r="C556" s="38" t="n">
        <f aca="false">'Assumptions &amp; Data'!C690</f>
        <v>46082</v>
      </c>
      <c r="D556" s="39" t="str">
        <f aca="false">INDEX('Assumptions &amp; Data'!$B$142:$B$201,MATCH(B556,'Assumptions &amp; Data'!$A$142:$A$201,0))</f>
        <v>Hyderabad</v>
      </c>
      <c r="E556" s="37" t="n">
        <f aca="false">'Assumptions &amp; Data'!D690</f>
        <v>1717</v>
      </c>
      <c r="F556" s="39" t="n">
        <f aca="false">E556*'Assumptions &amp; Data'!E690</f>
        <v>986073.1</v>
      </c>
      <c r="G556" s="39" t="n">
        <f aca="false">F556*'Assumptions &amp; Data'!F690</f>
        <v>91211.76175</v>
      </c>
      <c r="H556" s="39" t="n">
        <f aca="false">F556-G556</f>
        <v>894861.33825</v>
      </c>
      <c r="I556" s="39" t="n">
        <f aca="false">H556*'Assumptions &amp; Data'!G690</f>
        <v>151410.5384319</v>
      </c>
      <c r="J556" s="39" t="n">
        <f aca="false">E556*'Assumptions &amp; Data'!H690</f>
        <v>20569.66</v>
      </c>
      <c r="K556" s="39" t="n">
        <f aca="false">H556*'Assumptions &amp; Data'!I690</f>
        <v>16196.990222325</v>
      </c>
      <c r="L556" s="39" t="n">
        <f aca="false">H556*'Assumptions &amp; Data'!J690</f>
        <v>34631.133790275</v>
      </c>
      <c r="M556" s="39" t="n">
        <f aca="false">I556+J556+K556-L556</f>
        <v>153546.05486395</v>
      </c>
      <c r="N556" s="39" t="n">
        <f aca="false">E556*'Assumptions &amp; Data'!N690</f>
        <v>73453.26</v>
      </c>
      <c r="O556" s="39" t="n">
        <f aca="false">E556*'Assumptions &amp; Data'!O690</f>
        <v>16775.09</v>
      </c>
      <c r="P556" s="39" t="n">
        <f aca="false">H556*'Assumptions &amp; Data'!P690</f>
        <v>8859.127248675</v>
      </c>
      <c r="Q556" s="39" t="n">
        <f aca="false">M556-N556-O556-P556</f>
        <v>54458.577615275</v>
      </c>
      <c r="R556" s="39" t="n">
        <f aca="false">'Assumptions &amp; Data'!L690*'Assumptions &amp; Data'!M690</f>
        <v>313424</v>
      </c>
      <c r="S556" s="37" t="n">
        <f aca="false">'Assumptions &amp; Data'!Q690</f>
        <v>635000</v>
      </c>
      <c r="T556" s="37" t="n">
        <f aca="false">'Assumptions &amp; Data'!R690</f>
        <v>190352</v>
      </c>
      <c r="U556" s="37" t="n">
        <f aca="false">'Assumptions &amp; Data'!S690</f>
        <v>30454</v>
      </c>
      <c r="V556" s="39" t="n">
        <f aca="false">Q556-R556-S556-T556-U556</f>
        <v>-1114771.42238473</v>
      </c>
      <c r="W556" s="39" t="n">
        <f aca="false">DAY(EOMONTH(C556,0))</f>
        <v>31</v>
      </c>
      <c r="X556" s="40" t="n">
        <f aca="false">E556/W556</f>
        <v>55.3870967741936</v>
      </c>
      <c r="Y556" s="39" t="n">
        <f aca="false">R556+S556+T556+U556</f>
        <v>1169230</v>
      </c>
    </row>
    <row r="557" customFormat="false" ht="15" hidden="false" customHeight="false" outlineLevel="0" collapsed="false">
      <c r="A557" s="37" t="str">
        <f aca="false">'Assumptions &amp; Data'!A691</f>
        <v>SM0487</v>
      </c>
      <c r="B557" s="37" t="str">
        <f aca="false">'Assumptions &amp; Data'!B691</f>
        <v>DS041</v>
      </c>
      <c r="C557" s="38" t="n">
        <f aca="false">'Assumptions &amp; Data'!C691</f>
        <v>46113</v>
      </c>
      <c r="D557" s="39" t="str">
        <f aca="false">INDEX('Assumptions &amp; Data'!$B$142:$B$201,MATCH(B557,'Assumptions &amp; Data'!$A$142:$A$201,0))</f>
        <v>Hyderabad</v>
      </c>
      <c r="E557" s="37" t="n">
        <f aca="false">'Assumptions &amp; Data'!D691</f>
        <v>1668</v>
      </c>
      <c r="F557" s="39" t="n">
        <f aca="false">E557*'Assumptions &amp; Data'!E691</f>
        <v>957765.6</v>
      </c>
      <c r="G557" s="39" t="n">
        <f aca="false">F557*'Assumptions &amp; Data'!F691</f>
        <v>85049.58528</v>
      </c>
      <c r="H557" s="39" t="n">
        <f aca="false">F557-G557</f>
        <v>872716.01472</v>
      </c>
      <c r="I557" s="39" t="n">
        <f aca="false">H557*'Assumptions &amp; Data'!G691</f>
        <v>148187.179299456</v>
      </c>
      <c r="J557" s="39" t="n">
        <f aca="false">E557*'Assumptions &amp; Data'!H691</f>
        <v>19999.32</v>
      </c>
      <c r="K557" s="39" t="n">
        <f aca="false">H557*'Assumptions &amp; Data'!I691</f>
        <v>14487.085844352</v>
      </c>
      <c r="L557" s="39" t="n">
        <f aca="false">H557*'Assumptions &amp; Data'!J691</f>
        <v>35170.455393216</v>
      </c>
      <c r="M557" s="39" t="n">
        <f aca="false">I557+J557+K557-L557</f>
        <v>147503.129750592</v>
      </c>
      <c r="N557" s="39" t="n">
        <f aca="false">E557*'Assumptions &amp; Data'!N691</f>
        <v>72291.12</v>
      </c>
      <c r="O557" s="39" t="n">
        <f aca="false">E557*'Assumptions &amp; Data'!O691</f>
        <v>16096.2</v>
      </c>
      <c r="P557" s="39" t="n">
        <f aca="false">H557*'Assumptions &amp; Data'!P691</f>
        <v>8465.345342784</v>
      </c>
      <c r="Q557" s="39" t="n">
        <f aca="false">M557-N557-O557-P557</f>
        <v>50650.464407808</v>
      </c>
      <c r="R557" s="39" t="n">
        <f aca="false">'Assumptions &amp; Data'!L691*'Assumptions &amp; Data'!M691</f>
        <v>313696</v>
      </c>
      <c r="S557" s="37" t="n">
        <f aca="false">'Assumptions &amp; Data'!Q691</f>
        <v>635000</v>
      </c>
      <c r="T557" s="37" t="n">
        <f aca="false">'Assumptions &amp; Data'!R691</f>
        <v>183469</v>
      </c>
      <c r="U557" s="37" t="n">
        <f aca="false">'Assumptions &amp; Data'!S691</f>
        <v>28441</v>
      </c>
      <c r="V557" s="39" t="n">
        <f aca="false">Q557-R557-S557-T557-U557</f>
        <v>-1109955.53559219</v>
      </c>
      <c r="W557" s="39" t="n">
        <f aca="false">DAY(EOMONTH(C557,0))</f>
        <v>30</v>
      </c>
      <c r="X557" s="40" t="n">
        <f aca="false">E557/W557</f>
        <v>55.6</v>
      </c>
      <c r="Y557" s="39" t="n">
        <f aca="false">R557+S557+T557+U557</f>
        <v>1160606</v>
      </c>
    </row>
    <row r="558" customFormat="false" ht="15" hidden="false" customHeight="false" outlineLevel="0" collapsed="false">
      <c r="A558" s="37" t="str">
        <f aca="false">'Assumptions &amp; Data'!A692</f>
        <v>SM0488</v>
      </c>
      <c r="B558" s="37" t="str">
        <f aca="false">'Assumptions &amp; Data'!B692</f>
        <v>DS041</v>
      </c>
      <c r="C558" s="38" t="n">
        <f aca="false">'Assumptions &amp; Data'!C692</f>
        <v>46143</v>
      </c>
      <c r="D558" s="39" t="str">
        <f aca="false">INDEX('Assumptions &amp; Data'!$B$142:$B$201,MATCH(B558,'Assumptions &amp; Data'!$A$142:$A$201,0))</f>
        <v>Hyderabad</v>
      </c>
      <c r="E558" s="37" t="n">
        <f aca="false">'Assumptions &amp; Data'!D692</f>
        <v>1621</v>
      </c>
      <c r="F558" s="39" t="n">
        <f aca="false">E558*'Assumptions &amp; Data'!E692</f>
        <v>940666.3</v>
      </c>
      <c r="G558" s="39" t="n">
        <f aca="false">F558*'Assumptions &amp; Data'!F692</f>
        <v>85882.83319</v>
      </c>
      <c r="H558" s="39" t="n">
        <f aca="false">F558-G558</f>
        <v>854783.46681</v>
      </c>
      <c r="I558" s="39" t="n">
        <f aca="false">H558*'Assumptions &amp; Data'!G692</f>
        <v>142748.83895727</v>
      </c>
      <c r="J558" s="39" t="n">
        <f aca="false">E558*'Assumptions &amp; Data'!H692</f>
        <v>20003.14</v>
      </c>
      <c r="K558" s="39" t="n">
        <f aca="false">H558*'Assumptions &amp; Data'!I692</f>
        <v>14616.797282451</v>
      </c>
      <c r="L558" s="39" t="n">
        <f aca="false">H558*'Assumptions &amp; Data'!J692</f>
        <v>33849.425285676</v>
      </c>
      <c r="M558" s="39" t="n">
        <f aca="false">I558+J558+K558-L558</f>
        <v>143519.350954045</v>
      </c>
      <c r="N558" s="39" t="n">
        <f aca="false">E558*'Assumptions &amp; Data'!N692</f>
        <v>68908.71</v>
      </c>
      <c r="O558" s="39" t="n">
        <f aca="false">E558*'Assumptions &amp; Data'!O692</f>
        <v>15529.18</v>
      </c>
      <c r="P558" s="39" t="n">
        <f aca="false">H558*'Assumptions &amp; Data'!P692</f>
        <v>8462.356321419</v>
      </c>
      <c r="Q558" s="39" t="n">
        <f aca="false">M558-N558-O558-P558</f>
        <v>50619.104632626</v>
      </c>
      <c r="R558" s="39" t="n">
        <f aca="false">'Assumptions &amp; Data'!L692*'Assumptions &amp; Data'!M692</f>
        <v>313984</v>
      </c>
      <c r="S558" s="37" t="n">
        <f aca="false">'Assumptions &amp; Data'!Q692</f>
        <v>635000</v>
      </c>
      <c r="T558" s="37" t="n">
        <f aca="false">'Assumptions &amp; Data'!R692</f>
        <v>188204</v>
      </c>
      <c r="U558" s="37" t="n">
        <f aca="false">'Assumptions &amp; Data'!S692</f>
        <v>28746</v>
      </c>
      <c r="V558" s="39" t="n">
        <f aca="false">Q558-R558-S558-T558-U558</f>
        <v>-1115314.89536737</v>
      </c>
      <c r="W558" s="39" t="n">
        <f aca="false">DAY(EOMONTH(C558,0))</f>
        <v>31</v>
      </c>
      <c r="X558" s="40" t="n">
        <f aca="false">E558/W558</f>
        <v>52.2903225806452</v>
      </c>
      <c r="Y558" s="39" t="n">
        <f aca="false">R558+S558+T558+U558</f>
        <v>1165934</v>
      </c>
    </row>
    <row r="559" customFormat="false" ht="15" hidden="false" customHeight="false" outlineLevel="0" collapsed="false">
      <c r="A559" s="37" t="str">
        <f aca="false">'Assumptions &amp; Data'!A693</f>
        <v>SM0489</v>
      </c>
      <c r="B559" s="37" t="str">
        <f aca="false">'Assumptions &amp; Data'!B693</f>
        <v>DS041</v>
      </c>
      <c r="C559" s="38" t="n">
        <f aca="false">'Assumptions &amp; Data'!C693</f>
        <v>46174</v>
      </c>
      <c r="D559" s="39" t="str">
        <f aca="false">INDEX('Assumptions &amp; Data'!$B$142:$B$201,MATCH(B559,'Assumptions &amp; Data'!$A$142:$A$201,0))</f>
        <v>Hyderabad</v>
      </c>
      <c r="E559" s="37" t="n">
        <f aca="false">'Assumptions &amp; Data'!D693</f>
        <v>1700</v>
      </c>
      <c r="F559" s="39" t="n">
        <f aca="false">E559*'Assumptions &amp; Data'!E693</f>
        <v>1030200</v>
      </c>
      <c r="G559" s="39" t="n">
        <f aca="false">F559*'Assumptions &amp; Data'!F693</f>
        <v>92408.94</v>
      </c>
      <c r="H559" s="39" t="n">
        <f aca="false">F559-G559</f>
        <v>937791.06</v>
      </c>
      <c r="I559" s="39" t="n">
        <f aca="false">H559*'Assumptions &amp; Data'!G693</f>
        <v>157736.456292</v>
      </c>
      <c r="J559" s="39" t="n">
        <f aca="false">E559*'Assumptions &amp; Data'!H693</f>
        <v>20876</v>
      </c>
      <c r="K559" s="39" t="n">
        <f aca="false">H559*'Assumptions &amp; Data'!I693</f>
        <v>16223.785338</v>
      </c>
      <c r="L559" s="39" t="n">
        <f aca="false">H559*'Assumptions &amp; Data'!J693</f>
        <v>38543.212566</v>
      </c>
      <c r="M559" s="39" t="n">
        <f aca="false">I559+J559+K559-L559</f>
        <v>156293.029064</v>
      </c>
      <c r="N559" s="39" t="n">
        <f aca="false">E559*'Assumptions &amp; Data'!N693</f>
        <v>72641</v>
      </c>
      <c r="O559" s="39" t="n">
        <f aca="false">E559*'Assumptions &amp; Data'!O693</f>
        <v>16456</v>
      </c>
      <c r="P559" s="39" t="n">
        <f aca="false">H559*'Assumptions &amp; Data'!P693</f>
        <v>9753.027024</v>
      </c>
      <c r="Q559" s="39" t="n">
        <f aca="false">M559-N559-O559-P559</f>
        <v>57443.00204</v>
      </c>
      <c r="R559" s="39" t="n">
        <f aca="false">'Assumptions &amp; Data'!L693*'Assumptions &amp; Data'!M693</f>
        <v>314272</v>
      </c>
      <c r="S559" s="37" t="n">
        <f aca="false">'Assumptions &amp; Data'!Q693</f>
        <v>635000</v>
      </c>
      <c r="T559" s="37" t="n">
        <f aca="false">'Assumptions &amp; Data'!R693</f>
        <v>189919</v>
      </c>
      <c r="U559" s="37" t="n">
        <f aca="false">'Assumptions &amp; Data'!S693</f>
        <v>31107</v>
      </c>
      <c r="V559" s="39" t="n">
        <f aca="false">Q559-R559-S559-T559-U559</f>
        <v>-1112854.99796</v>
      </c>
      <c r="W559" s="39" t="n">
        <f aca="false">DAY(EOMONTH(C559,0))</f>
        <v>30</v>
      </c>
      <c r="X559" s="40" t="n">
        <f aca="false">E559/W559</f>
        <v>56.6666666666667</v>
      </c>
      <c r="Y559" s="39" t="n">
        <f aca="false">R559+S559+T559+U559</f>
        <v>1170298</v>
      </c>
    </row>
    <row r="560" customFormat="false" ht="15" hidden="false" customHeight="false" outlineLevel="0" collapsed="false">
      <c r="A560" s="37" t="str">
        <f aca="false">'Assumptions &amp; Data'!A694</f>
        <v>SM0490</v>
      </c>
      <c r="B560" s="37" t="str">
        <f aca="false">'Assumptions &amp; Data'!B694</f>
        <v>DS041</v>
      </c>
      <c r="C560" s="38" t="n">
        <f aca="false">'Assumptions &amp; Data'!C694</f>
        <v>46204</v>
      </c>
      <c r="D560" s="39" t="str">
        <f aca="false">INDEX('Assumptions &amp; Data'!$B$142:$B$201,MATCH(B560,'Assumptions &amp; Data'!$A$142:$A$201,0))</f>
        <v>Hyderabad</v>
      </c>
      <c r="E560" s="37" t="n">
        <f aca="false">'Assumptions &amp; Data'!D694</f>
        <v>3041</v>
      </c>
      <c r="F560" s="39" t="n">
        <f aca="false">E560*'Assumptions &amp; Data'!E694</f>
        <v>1768037.4</v>
      </c>
      <c r="G560" s="39" t="n">
        <f aca="false">F560*'Assumptions &amp; Data'!F694</f>
        <v>152404.82388</v>
      </c>
      <c r="H560" s="39" t="n">
        <f aca="false">F560-G560</f>
        <v>1615632.57612</v>
      </c>
      <c r="I560" s="39" t="n">
        <f aca="false">H560*'Assumptions &amp; Data'!G694</f>
        <v>275303.790970848</v>
      </c>
      <c r="J560" s="39" t="n">
        <f aca="false">E560*'Assumptions &amp; Data'!H694</f>
        <v>36370.36</v>
      </c>
      <c r="K560" s="39" t="n">
        <f aca="false">H560*'Assumptions &amp; Data'!I694</f>
        <v>25526.994702696</v>
      </c>
      <c r="L560" s="39" t="n">
        <f aca="false">H560*'Assumptions &amp; Data'!J694</f>
        <v>63494.360241516</v>
      </c>
      <c r="M560" s="39" t="n">
        <f aca="false">I560+J560+K560-L560</f>
        <v>273706.785432028</v>
      </c>
      <c r="N560" s="39" t="n">
        <f aca="false">E560*'Assumptions &amp; Data'!N694</f>
        <v>130367.67</v>
      </c>
      <c r="O560" s="39" t="n">
        <f aca="false">E560*'Assumptions &amp; Data'!O694</f>
        <v>30379.59</v>
      </c>
      <c r="P560" s="39" t="n">
        <f aca="false">H560*'Assumptions &amp; Data'!P694</f>
        <v>16156.3257612</v>
      </c>
      <c r="Q560" s="39" t="n">
        <f aca="false">M560-N560-O560-P560</f>
        <v>96803.1996708279</v>
      </c>
      <c r="R560" s="39" t="n">
        <f aca="false">'Assumptions &amp; Data'!L694*'Assumptions &amp; Data'!M694</f>
        <v>314560</v>
      </c>
      <c r="S560" s="37" t="n">
        <f aca="false">'Assumptions &amp; Data'!Q694</f>
        <v>635000</v>
      </c>
      <c r="T560" s="37" t="n">
        <f aca="false">'Assumptions &amp; Data'!R694</f>
        <v>188336</v>
      </c>
      <c r="U560" s="37" t="n">
        <f aca="false">'Assumptions &amp; Data'!S694</f>
        <v>49682</v>
      </c>
      <c r="V560" s="39" t="n">
        <f aca="false">Q560-R560-S560-T560-U560</f>
        <v>-1090774.80032917</v>
      </c>
      <c r="W560" s="39" t="n">
        <f aca="false">DAY(EOMONTH(C560,0))</f>
        <v>31</v>
      </c>
      <c r="X560" s="40" t="n">
        <f aca="false">E560/W560</f>
        <v>98.0967741935484</v>
      </c>
      <c r="Y560" s="39" t="n">
        <f aca="false">R560+S560+T560+U560</f>
        <v>1187578</v>
      </c>
    </row>
    <row r="561" customFormat="false" ht="15" hidden="false" customHeight="false" outlineLevel="0" collapsed="false">
      <c r="A561" s="37" t="str">
        <f aca="false">'Assumptions &amp; Data'!A695</f>
        <v>SM0491</v>
      </c>
      <c r="B561" s="37" t="str">
        <f aca="false">'Assumptions &amp; Data'!B695</f>
        <v>DS041</v>
      </c>
      <c r="C561" s="38" t="n">
        <f aca="false">'Assumptions &amp; Data'!C695</f>
        <v>46235</v>
      </c>
      <c r="D561" s="39" t="str">
        <f aca="false">INDEX('Assumptions &amp; Data'!$B$142:$B$201,MATCH(B561,'Assumptions &amp; Data'!$A$142:$A$201,0))</f>
        <v>Hyderabad</v>
      </c>
      <c r="E561" s="37" t="n">
        <f aca="false">'Assumptions &amp; Data'!D695</f>
        <v>4507</v>
      </c>
      <c r="F561" s="39" t="n">
        <f aca="false">E561*'Assumptions &amp; Data'!E695</f>
        <v>2584764.5</v>
      </c>
      <c r="G561" s="39" t="n">
        <f aca="false">F561*'Assumptions &amp; Data'!F695</f>
        <v>205230.3013</v>
      </c>
      <c r="H561" s="39" t="n">
        <f aca="false">F561-G561</f>
        <v>2379534.1987</v>
      </c>
      <c r="I561" s="39" t="n">
        <f aca="false">H561*'Assumptions &amp; Data'!G695</f>
        <v>404282.86035913</v>
      </c>
      <c r="J561" s="39" t="n">
        <f aca="false">E561*'Assumptions &amp; Data'!H695</f>
        <v>61565.62</v>
      </c>
      <c r="K561" s="39" t="n">
        <f aca="false">H561*'Assumptions &amp; Data'!I695</f>
        <v>40927.98821764</v>
      </c>
      <c r="L561" s="39" t="n">
        <f aca="false">H561*'Assumptions &amp; Data'!J695</f>
        <v>89946.39271086</v>
      </c>
      <c r="M561" s="39" t="n">
        <f aca="false">I561+J561+K561-L561</f>
        <v>416830.07586591</v>
      </c>
      <c r="N561" s="39" t="n">
        <f aca="false">E561*'Assumptions &amp; Data'!N695</f>
        <v>189789.77</v>
      </c>
      <c r="O561" s="39" t="n">
        <f aca="false">E561*'Assumptions &amp; Data'!O695</f>
        <v>43267.2</v>
      </c>
      <c r="P561" s="39" t="n">
        <f aca="false">H561*'Assumptions &amp; Data'!P695</f>
        <v>24747.15566648</v>
      </c>
      <c r="Q561" s="39" t="n">
        <f aca="false">M561-N561-O561-P561</f>
        <v>159025.95019943</v>
      </c>
      <c r="R561" s="39" t="n">
        <f aca="false">'Assumptions &amp; Data'!L695*'Assumptions &amp; Data'!M695</f>
        <v>314832</v>
      </c>
      <c r="S561" s="37" t="n">
        <f aca="false">'Assumptions &amp; Data'!Q695</f>
        <v>635000</v>
      </c>
      <c r="T561" s="37" t="n">
        <f aca="false">'Assumptions &amp; Data'!R695</f>
        <v>190195</v>
      </c>
      <c r="U561" s="37" t="n">
        <f aca="false">'Assumptions &amp; Data'!S695</f>
        <v>67210</v>
      </c>
      <c r="V561" s="39" t="n">
        <f aca="false">Q561-R561-S561-T561-U561</f>
        <v>-1048211.04980057</v>
      </c>
      <c r="W561" s="39" t="n">
        <f aca="false">DAY(EOMONTH(C561,0))</f>
        <v>31</v>
      </c>
      <c r="X561" s="40" t="n">
        <f aca="false">E561/W561</f>
        <v>145.387096774194</v>
      </c>
      <c r="Y561" s="39" t="n">
        <f aca="false">R561+S561+T561+U561</f>
        <v>1207237</v>
      </c>
    </row>
    <row r="562" customFormat="false" ht="15" hidden="false" customHeight="false" outlineLevel="0" collapsed="false">
      <c r="A562" s="37" t="str">
        <f aca="false">'Assumptions &amp; Data'!A696</f>
        <v>SM0492</v>
      </c>
      <c r="B562" s="37" t="str">
        <f aca="false">'Assumptions &amp; Data'!B696</f>
        <v>DS041</v>
      </c>
      <c r="C562" s="38" t="n">
        <f aca="false">'Assumptions &amp; Data'!C696</f>
        <v>46266</v>
      </c>
      <c r="D562" s="39" t="str">
        <f aca="false">INDEX('Assumptions &amp; Data'!$B$142:$B$201,MATCH(B562,'Assumptions &amp; Data'!$A$142:$A$201,0))</f>
        <v>Hyderabad</v>
      </c>
      <c r="E562" s="37" t="n">
        <f aca="false">'Assumptions &amp; Data'!D696</f>
        <v>5849</v>
      </c>
      <c r="F562" s="39" t="n">
        <f aca="false">E562*'Assumptions &amp; Data'!E696</f>
        <v>3496532.2</v>
      </c>
      <c r="G562" s="39" t="n">
        <f aca="false">F562*'Assumptions &amp; Data'!F696</f>
        <v>280421.88244</v>
      </c>
      <c r="H562" s="39" t="n">
        <f aca="false">F562-G562</f>
        <v>3216110.31756</v>
      </c>
      <c r="I562" s="39" t="n">
        <f aca="false">H562*'Assumptions &amp; Data'!G696</f>
        <v>550276.475334516</v>
      </c>
      <c r="J562" s="39" t="n">
        <f aca="false">E562*'Assumptions &amp; Data'!H696</f>
        <v>70948.37</v>
      </c>
      <c r="K562" s="39" t="n">
        <f aca="false">H562*'Assumptions &amp; Data'!I696</f>
        <v>60141.262938372</v>
      </c>
      <c r="L562" s="39" t="n">
        <f aca="false">H562*'Assumptions &amp; Data'!J696</f>
        <v>118031.248654452</v>
      </c>
      <c r="M562" s="39" t="n">
        <f aca="false">I562+J562+K562-L562</f>
        <v>563334.859618436</v>
      </c>
      <c r="N562" s="39" t="n">
        <f aca="false">E562*'Assumptions &amp; Data'!N696</f>
        <v>245599.51</v>
      </c>
      <c r="O562" s="39" t="n">
        <f aca="false">E562*'Assumptions &amp; Data'!O696</f>
        <v>59718.29</v>
      </c>
      <c r="P562" s="39" t="n">
        <f aca="false">H562*'Assumptions &amp; Data'!P696</f>
        <v>31839.492143844</v>
      </c>
      <c r="Q562" s="39" t="n">
        <f aca="false">M562-N562-O562-P562</f>
        <v>226177.567474592</v>
      </c>
      <c r="R562" s="39" t="n">
        <f aca="false">'Assumptions &amp; Data'!L696*'Assumptions &amp; Data'!M696</f>
        <v>315120</v>
      </c>
      <c r="S562" s="37" t="n">
        <f aca="false">'Assumptions &amp; Data'!Q696</f>
        <v>635000</v>
      </c>
      <c r="T562" s="37" t="n">
        <f aca="false">'Assumptions &amp; Data'!R696</f>
        <v>194542</v>
      </c>
      <c r="U562" s="37" t="n">
        <f aca="false">'Assumptions &amp; Data'!S696</f>
        <v>80452</v>
      </c>
      <c r="V562" s="39" t="n">
        <f aca="false">Q562-R562-S562-T562-U562</f>
        <v>-998936.432525408</v>
      </c>
      <c r="W562" s="39" t="n">
        <f aca="false">DAY(EOMONTH(C562,0))</f>
        <v>30</v>
      </c>
      <c r="X562" s="40" t="n">
        <f aca="false">E562/W562</f>
        <v>194.966666666667</v>
      </c>
      <c r="Y562" s="39" t="n">
        <f aca="false">R562+S562+T562+U562</f>
        <v>1225114</v>
      </c>
    </row>
    <row r="563" customFormat="false" ht="15" hidden="false" customHeight="false" outlineLevel="0" collapsed="false">
      <c r="A563" s="37" t="str">
        <f aca="false">'Assumptions &amp; Data'!A697</f>
        <v>SM0493</v>
      </c>
      <c r="B563" s="37" t="str">
        <f aca="false">'Assumptions &amp; Data'!B697</f>
        <v>DS042</v>
      </c>
      <c r="C563" s="38" t="n">
        <f aca="false">'Assumptions &amp; Data'!C697</f>
        <v>45931</v>
      </c>
      <c r="D563" s="39" t="str">
        <f aca="false">INDEX('Assumptions &amp; Data'!$B$142:$B$201,MATCH(B563,'Assumptions &amp; Data'!$A$142:$A$201,0))</f>
        <v>Hyderabad</v>
      </c>
      <c r="E563" s="37" t="n">
        <f aca="false">'Assumptions &amp; Data'!D697</f>
        <v>16979</v>
      </c>
      <c r="F563" s="39" t="n">
        <f aca="false">E563*'Assumptions &amp; Data'!E697</f>
        <v>10245128.6</v>
      </c>
      <c r="G563" s="39" t="n">
        <f aca="false">F563*'Assumptions &amp; Data'!F697</f>
        <v>824732.8523</v>
      </c>
      <c r="H563" s="39" t="n">
        <f aca="false">F563-G563</f>
        <v>9420395.7477</v>
      </c>
      <c r="I563" s="39" t="n">
        <f aca="false">H563*'Assumptions &amp; Data'!G697</f>
        <v>1581684.44603883</v>
      </c>
      <c r="J563" s="39" t="n">
        <f aca="false">E563*'Assumptions &amp; Data'!H697</f>
        <v>219368.68</v>
      </c>
      <c r="K563" s="39" t="n">
        <f aca="false">H563*'Assumptions &amp; Data'!I697</f>
        <v>216669.1021971</v>
      </c>
      <c r="L563" s="39" t="n">
        <f aca="false">H563*'Assumptions &amp; Data'!J697</f>
        <v>252466.60603836</v>
      </c>
      <c r="M563" s="39" t="n">
        <f aca="false">I563+J563+K563-L563</f>
        <v>1765255.62219757</v>
      </c>
      <c r="N563" s="39" t="n">
        <f aca="false">E563*'Assumptions &amp; Data'!N697</f>
        <v>626525.1</v>
      </c>
      <c r="O563" s="39" t="n">
        <f aca="false">E563*'Assumptions &amp; Data'!O697</f>
        <v>168092.1</v>
      </c>
      <c r="P563" s="39" t="n">
        <f aca="false">H563*'Assumptions &amp; Data'!P697</f>
        <v>97030.07620131</v>
      </c>
      <c r="Q563" s="39" t="n">
        <f aca="false">M563-N563-O563-P563</f>
        <v>873608.34599626</v>
      </c>
      <c r="R563" s="39" t="n">
        <f aca="false">'Assumptions &amp; Data'!L697*'Assumptions &amp; Data'!M697</f>
        <v>312000</v>
      </c>
      <c r="S563" s="37" t="n">
        <f aca="false">'Assumptions &amp; Data'!Q697</f>
        <v>634500</v>
      </c>
      <c r="T563" s="37" t="n">
        <f aca="false">'Assumptions &amp; Data'!R697</f>
        <v>183404</v>
      </c>
      <c r="U563" s="37" t="n">
        <f aca="false">'Assumptions &amp; Data'!S697</f>
        <v>231788</v>
      </c>
      <c r="V563" s="39" t="n">
        <f aca="false">Q563-R563-S563-T563-U563</f>
        <v>-488083.65400374</v>
      </c>
      <c r="W563" s="39" t="n">
        <f aca="false">DAY(EOMONTH(C563,0))</f>
        <v>31</v>
      </c>
      <c r="X563" s="40" t="n">
        <f aca="false">E563/W563</f>
        <v>547.709677419355</v>
      </c>
      <c r="Y563" s="39" t="n">
        <f aca="false">R563+S563+T563+U563</f>
        <v>1361692</v>
      </c>
    </row>
    <row r="564" customFormat="false" ht="15" hidden="false" customHeight="false" outlineLevel="0" collapsed="false">
      <c r="A564" s="37" t="str">
        <f aca="false">'Assumptions &amp; Data'!A698</f>
        <v>SM0494</v>
      </c>
      <c r="B564" s="37" t="str">
        <f aca="false">'Assumptions &amp; Data'!B698</f>
        <v>DS042</v>
      </c>
      <c r="C564" s="38" t="n">
        <f aca="false">'Assumptions &amp; Data'!C698</f>
        <v>45962</v>
      </c>
      <c r="D564" s="39" t="str">
        <f aca="false">INDEX('Assumptions &amp; Data'!$B$142:$B$201,MATCH(B564,'Assumptions &amp; Data'!$A$142:$A$201,0))</f>
        <v>Hyderabad</v>
      </c>
      <c r="E564" s="37" t="n">
        <f aca="false">'Assumptions &amp; Data'!D698</f>
        <v>19638</v>
      </c>
      <c r="F564" s="39" t="n">
        <f aca="false">E564*'Assumptions &amp; Data'!E698</f>
        <v>11892772.8</v>
      </c>
      <c r="G564" s="39" t="n">
        <f aca="false">F564*'Assumptions &amp; Data'!F698</f>
        <v>996614.36064</v>
      </c>
      <c r="H564" s="39" t="n">
        <f aca="false">F564-G564</f>
        <v>10896158.43936</v>
      </c>
      <c r="I564" s="39" t="n">
        <f aca="false">H564*'Assumptions &amp; Data'!G698</f>
        <v>1837092.3128761</v>
      </c>
      <c r="J564" s="39" t="n">
        <f aca="false">E564*'Assumptions &amp; Data'!H698</f>
        <v>257846.94</v>
      </c>
      <c r="K564" s="39" t="n">
        <f aca="false">H564*'Assumptions &amp; Data'!I698</f>
        <v>253880.491637088</v>
      </c>
      <c r="L564" s="39" t="n">
        <f aca="false">H564*'Assumptions &amp; Data'!J698</f>
        <v>284389.735267296</v>
      </c>
      <c r="M564" s="39" t="n">
        <f aca="false">I564+J564+K564-L564</f>
        <v>2064430.00924589</v>
      </c>
      <c r="N564" s="39" t="n">
        <f aca="false">E564*'Assumptions &amp; Data'!N698</f>
        <v>711681.12</v>
      </c>
      <c r="O564" s="39" t="n">
        <f aca="false">E564*'Assumptions &amp; Data'!O698</f>
        <v>194808.96</v>
      </c>
      <c r="P564" s="39" t="n">
        <f aca="false">H564*'Assumptions &amp; Data'!P698</f>
        <v>111140.816081472</v>
      </c>
      <c r="Q564" s="39" t="n">
        <f aca="false">M564-N564-O564-P564</f>
        <v>1046799.11316442</v>
      </c>
      <c r="R564" s="39" t="n">
        <f aca="false">'Assumptions &amp; Data'!L698*'Assumptions &amp; Data'!M698</f>
        <v>312288</v>
      </c>
      <c r="S564" s="37" t="n">
        <f aca="false">'Assumptions &amp; Data'!Q698</f>
        <v>634500</v>
      </c>
      <c r="T564" s="37" t="n">
        <f aca="false">'Assumptions &amp; Data'!R698</f>
        <v>178847</v>
      </c>
      <c r="U564" s="37" t="n">
        <f aca="false">'Assumptions &amp; Data'!S698</f>
        <v>251179</v>
      </c>
      <c r="V564" s="39" t="n">
        <f aca="false">Q564-R564-S564-T564-U564</f>
        <v>-330014.886835584</v>
      </c>
      <c r="W564" s="39" t="n">
        <f aca="false">DAY(EOMONTH(C564,0))</f>
        <v>30</v>
      </c>
      <c r="X564" s="40" t="n">
        <f aca="false">E564/W564</f>
        <v>654.6</v>
      </c>
      <c r="Y564" s="39" t="n">
        <f aca="false">R564+S564+T564+U564</f>
        <v>1376814</v>
      </c>
    </row>
    <row r="565" customFormat="false" ht="15" hidden="false" customHeight="false" outlineLevel="0" collapsed="false">
      <c r="A565" s="37" t="str">
        <f aca="false">'Assumptions &amp; Data'!A699</f>
        <v>SM0495</v>
      </c>
      <c r="B565" s="37" t="str">
        <f aca="false">'Assumptions &amp; Data'!B699</f>
        <v>DS042</v>
      </c>
      <c r="C565" s="38" t="n">
        <f aca="false">'Assumptions &amp; Data'!C699</f>
        <v>45992</v>
      </c>
      <c r="D565" s="39" t="str">
        <f aca="false">INDEX('Assumptions &amp; Data'!$B$142:$B$201,MATCH(B565,'Assumptions &amp; Data'!$A$142:$A$201,0))</f>
        <v>Hyderabad</v>
      </c>
      <c r="E565" s="37" t="n">
        <f aca="false">'Assumptions &amp; Data'!D699</f>
        <v>23153</v>
      </c>
      <c r="F565" s="39" t="n">
        <f aca="false">E565*'Assumptions &amp; Data'!E699</f>
        <v>14132591.2</v>
      </c>
      <c r="G565" s="39" t="n">
        <f aca="false">F565*'Assumptions &amp; Data'!F699</f>
        <v>1089622.78152</v>
      </c>
      <c r="H565" s="39" t="n">
        <f aca="false">F565-G565</f>
        <v>13042968.41848</v>
      </c>
      <c r="I565" s="39" t="n">
        <f aca="false">H565*'Assumptions &amp; Data'!G699</f>
        <v>2178175.72588616</v>
      </c>
      <c r="J565" s="39" t="n">
        <f aca="false">E565*'Assumptions &amp; Data'!H699</f>
        <v>315343.86</v>
      </c>
      <c r="K565" s="39" t="n">
        <f aca="false">H565*'Assumptions &amp; Data'!I699</f>
        <v>329987.100987544</v>
      </c>
      <c r="L565" s="39" t="n">
        <f aca="false">H565*'Assumptions &amp; Data'!J699</f>
        <v>307814.054676128</v>
      </c>
      <c r="M565" s="39" t="n">
        <f aca="false">I565+J565+K565-L565</f>
        <v>2515692.63219758</v>
      </c>
      <c r="N565" s="39" t="n">
        <f aca="false">E565*'Assumptions &amp; Data'!N699</f>
        <v>814754.07</v>
      </c>
      <c r="O565" s="39" t="n">
        <f aca="false">E565*'Assumptions &amp; Data'!O699</f>
        <v>228983.17</v>
      </c>
      <c r="P565" s="39" t="n">
        <f aca="false">H565*'Assumptions &amp; Data'!P699</f>
        <v>140864.058919584</v>
      </c>
      <c r="Q565" s="39" t="n">
        <f aca="false">M565-N565-O565-P565</f>
        <v>1331091.33327799</v>
      </c>
      <c r="R565" s="39" t="n">
        <f aca="false">'Assumptions &amp; Data'!L699*'Assumptions &amp; Data'!M699</f>
        <v>312560</v>
      </c>
      <c r="S565" s="37" t="n">
        <f aca="false">'Assumptions &amp; Data'!Q699</f>
        <v>634500</v>
      </c>
      <c r="T565" s="37" t="n">
        <f aca="false">'Assumptions &amp; Data'!R699</f>
        <v>178719</v>
      </c>
      <c r="U565" s="37" t="n">
        <f aca="false">'Assumptions &amp; Data'!S699</f>
        <v>289880</v>
      </c>
      <c r="V565" s="39" t="n">
        <f aca="false">Q565-R565-S565-T565-U565</f>
        <v>-84567.666722008</v>
      </c>
      <c r="W565" s="39" t="n">
        <f aca="false">DAY(EOMONTH(C565,0))</f>
        <v>31</v>
      </c>
      <c r="X565" s="40" t="n">
        <f aca="false">E565/W565</f>
        <v>746.870967741936</v>
      </c>
      <c r="Y565" s="39" t="n">
        <f aca="false">R565+S565+T565+U565</f>
        <v>1415659</v>
      </c>
    </row>
    <row r="566" customFormat="false" ht="15" hidden="false" customHeight="false" outlineLevel="0" collapsed="false">
      <c r="A566" s="37" t="str">
        <f aca="false">'Assumptions &amp; Data'!A700</f>
        <v>SM0496</v>
      </c>
      <c r="B566" s="37" t="str">
        <f aca="false">'Assumptions &amp; Data'!B700</f>
        <v>DS042</v>
      </c>
      <c r="C566" s="38" t="n">
        <f aca="false">'Assumptions &amp; Data'!C700</f>
        <v>46023</v>
      </c>
      <c r="D566" s="39" t="str">
        <f aca="false">INDEX('Assumptions &amp; Data'!$B$142:$B$201,MATCH(B566,'Assumptions &amp; Data'!$A$142:$A$201,0))</f>
        <v>Hyderabad</v>
      </c>
      <c r="E566" s="37" t="n">
        <f aca="false">'Assumptions &amp; Data'!D700</f>
        <v>25916</v>
      </c>
      <c r="F566" s="39" t="n">
        <f aca="false">E566*'Assumptions &amp; Data'!E700</f>
        <v>15619573.2</v>
      </c>
      <c r="G566" s="39" t="n">
        <f aca="false">F566*'Assumptions &amp; Data'!F700</f>
        <v>1168344.07536</v>
      </c>
      <c r="H566" s="39" t="n">
        <f aca="false">F566-G566</f>
        <v>14451229.12464</v>
      </c>
      <c r="I566" s="39" t="n">
        <f aca="false">H566*'Assumptions &amp; Data'!G700</f>
        <v>2397458.91177778</v>
      </c>
      <c r="J566" s="39" t="n">
        <f aca="false">E566*'Assumptions &amp; Data'!H700</f>
        <v>333020.6</v>
      </c>
      <c r="K566" s="39" t="n">
        <f aca="false">H566*'Assumptions &amp; Data'!I700</f>
        <v>369951.465590784</v>
      </c>
      <c r="L566" s="39" t="n">
        <f aca="false">H566*'Assumptions &amp; Data'!J700</f>
        <v>286134.336667872</v>
      </c>
      <c r="M566" s="39" t="n">
        <f aca="false">I566+J566+K566-L566</f>
        <v>2814296.64070069</v>
      </c>
      <c r="N566" s="39" t="n">
        <f aca="false">E566*'Assumptions &amp; Data'!N700</f>
        <v>907319.16</v>
      </c>
      <c r="O566" s="39" t="n">
        <f aca="false">E566*'Assumptions &amp; Data'!O700</f>
        <v>256827.56</v>
      </c>
      <c r="P566" s="39" t="n">
        <f aca="false">H566*'Assumptions &amp; Data'!P700</f>
        <v>144512.2912464</v>
      </c>
      <c r="Q566" s="39" t="n">
        <f aca="false">M566-N566-O566-P566</f>
        <v>1505637.62945429</v>
      </c>
      <c r="R566" s="39" t="n">
        <f aca="false">'Assumptions &amp; Data'!L700*'Assumptions &amp; Data'!M700</f>
        <v>332401</v>
      </c>
      <c r="S566" s="37" t="n">
        <f aca="false">'Assumptions &amp; Data'!Q700</f>
        <v>634500</v>
      </c>
      <c r="T566" s="37" t="n">
        <f aca="false">'Assumptions &amp; Data'!R700</f>
        <v>179203</v>
      </c>
      <c r="U566" s="37" t="n">
        <f aca="false">'Assumptions &amp; Data'!S700</f>
        <v>281536</v>
      </c>
      <c r="V566" s="39" t="n">
        <f aca="false">Q566-R566-S566-T566-U566</f>
        <v>77997.6294542882</v>
      </c>
      <c r="W566" s="39" t="n">
        <f aca="false">DAY(EOMONTH(C566,0))</f>
        <v>31</v>
      </c>
      <c r="X566" s="40" t="n">
        <f aca="false">E566/W566</f>
        <v>836</v>
      </c>
      <c r="Y566" s="39" t="n">
        <f aca="false">R566+S566+T566+U566</f>
        <v>1427640</v>
      </c>
    </row>
    <row r="567" customFormat="false" ht="15" hidden="false" customHeight="false" outlineLevel="0" collapsed="false">
      <c r="A567" s="37" t="str">
        <f aca="false">'Assumptions &amp; Data'!A701</f>
        <v>SM0497</v>
      </c>
      <c r="B567" s="37" t="str">
        <f aca="false">'Assumptions &amp; Data'!B701</f>
        <v>DS042</v>
      </c>
      <c r="C567" s="38" t="n">
        <f aca="false">'Assumptions &amp; Data'!C701</f>
        <v>46054</v>
      </c>
      <c r="D567" s="39" t="str">
        <f aca="false">INDEX('Assumptions &amp; Data'!$B$142:$B$201,MATCH(B567,'Assumptions &amp; Data'!$A$142:$A$201,0))</f>
        <v>Hyderabad</v>
      </c>
      <c r="E567" s="37" t="n">
        <f aca="false">'Assumptions &amp; Data'!D701</f>
        <v>24059</v>
      </c>
      <c r="F567" s="39" t="n">
        <f aca="false">E567*'Assumptions &amp; Data'!E701</f>
        <v>14750572.9</v>
      </c>
      <c r="G567" s="39" t="n">
        <f aca="false">F567*'Assumptions &amp; Data'!F701</f>
        <v>1129893.88414</v>
      </c>
      <c r="H567" s="39" t="n">
        <f aca="false">F567-G567</f>
        <v>13620679.01586</v>
      </c>
      <c r="I567" s="39" t="n">
        <f aca="false">H567*'Assumptions &amp; Data'!G701</f>
        <v>2281463.73515655</v>
      </c>
      <c r="J567" s="39" t="n">
        <f aca="false">E567*'Assumptions &amp; Data'!H701</f>
        <v>296647.47</v>
      </c>
      <c r="K567" s="39" t="n">
        <f aca="false">H567*'Assumptions &amp; Data'!I701</f>
        <v>352775.586510774</v>
      </c>
      <c r="L567" s="39" t="n">
        <f aca="false">H567*'Assumptions &amp; Data'!J701</f>
        <v>307827.345758436</v>
      </c>
      <c r="M567" s="39" t="n">
        <f aca="false">I567+J567+K567-L567</f>
        <v>2623059.44590889</v>
      </c>
      <c r="N567" s="39" t="n">
        <f aca="false">E567*'Assumptions &amp; Data'!N701</f>
        <v>815359.51</v>
      </c>
      <c r="O567" s="39" t="n">
        <f aca="false">E567*'Assumptions &amp; Data'!O701</f>
        <v>237943.51</v>
      </c>
      <c r="P567" s="39" t="n">
        <f aca="false">H567*'Assumptions &amp; Data'!P701</f>
        <v>140292.993863358</v>
      </c>
      <c r="Q567" s="39" t="n">
        <f aca="false">M567-N567-O567-P567</f>
        <v>1429463.43204553</v>
      </c>
      <c r="R567" s="39" t="n">
        <f aca="false">'Assumptions &amp; Data'!L701*'Assumptions &amp; Data'!M701</f>
        <v>332707</v>
      </c>
      <c r="S567" s="37" t="n">
        <f aca="false">'Assumptions &amp; Data'!Q701</f>
        <v>634500</v>
      </c>
      <c r="T567" s="37" t="n">
        <f aca="false">'Assumptions &amp; Data'!R701</f>
        <v>187868</v>
      </c>
      <c r="U567" s="37" t="n">
        <f aca="false">'Assumptions &amp; Data'!S701</f>
        <v>242518</v>
      </c>
      <c r="V567" s="39" t="n">
        <f aca="false">Q567-R567-S567-T567-U567</f>
        <v>31870.4320455303</v>
      </c>
      <c r="W567" s="39" t="n">
        <f aca="false">DAY(EOMONTH(C567,0))</f>
        <v>28</v>
      </c>
      <c r="X567" s="40" t="n">
        <f aca="false">E567/W567</f>
        <v>859.25</v>
      </c>
      <c r="Y567" s="39" t="n">
        <f aca="false">R567+S567+T567+U567</f>
        <v>1397593</v>
      </c>
    </row>
    <row r="568" customFormat="false" ht="15" hidden="false" customHeight="false" outlineLevel="0" collapsed="false">
      <c r="A568" s="37" t="str">
        <f aca="false">'Assumptions &amp; Data'!A702</f>
        <v>SM0498</v>
      </c>
      <c r="B568" s="37" t="str">
        <f aca="false">'Assumptions &amp; Data'!B702</f>
        <v>DS042</v>
      </c>
      <c r="C568" s="38" t="n">
        <f aca="false">'Assumptions &amp; Data'!C702</f>
        <v>46082</v>
      </c>
      <c r="D568" s="39" t="str">
        <f aca="false">INDEX('Assumptions &amp; Data'!$B$142:$B$201,MATCH(B568,'Assumptions &amp; Data'!$A$142:$A$201,0))</f>
        <v>Hyderabad</v>
      </c>
      <c r="E568" s="37" t="n">
        <f aca="false">'Assumptions &amp; Data'!D702</f>
        <v>31201</v>
      </c>
      <c r="F568" s="39" t="n">
        <f aca="false">E568*'Assumptions &amp; Data'!E702</f>
        <v>19556786.8</v>
      </c>
      <c r="G568" s="39" t="n">
        <f aca="false">F568*'Assumptions &amp; Data'!F702</f>
        <v>1435468.15112</v>
      </c>
      <c r="H568" s="39" t="n">
        <f aca="false">F568-G568</f>
        <v>18121318.64888</v>
      </c>
      <c r="I568" s="39" t="n">
        <f aca="false">H568*'Assumptions &amp; Data'!G702</f>
        <v>3048005.79674162</v>
      </c>
      <c r="J568" s="39" t="n">
        <f aca="false">E568*'Assumptions &amp; Data'!H702</f>
        <v>393756.62</v>
      </c>
      <c r="K568" s="39" t="n">
        <f aca="false">H568*'Assumptions &amp; Data'!I702</f>
        <v>509209.054033528</v>
      </c>
      <c r="L568" s="39" t="n">
        <f aca="false">H568*'Assumptions &amp; Data'!J702</f>
        <v>347929.318058496</v>
      </c>
      <c r="M568" s="39" t="n">
        <f aca="false">I568+J568+K568-L568</f>
        <v>3603042.15271665</v>
      </c>
      <c r="N568" s="39" t="n">
        <f aca="false">E568*'Assumptions &amp; Data'!N702</f>
        <v>1048977.62</v>
      </c>
      <c r="O568" s="39" t="n">
        <f aca="false">E568*'Assumptions &amp; Data'!O702</f>
        <v>315754.12</v>
      </c>
      <c r="P568" s="39" t="n">
        <f aca="false">H568*'Assumptions &amp; Data'!P702</f>
        <v>186649.582083464</v>
      </c>
      <c r="Q568" s="39" t="n">
        <f aca="false">M568-N568-O568-P568</f>
        <v>2051660.83063318</v>
      </c>
      <c r="R568" s="39" t="n">
        <f aca="false">'Assumptions &amp; Data'!L702*'Assumptions &amp; Data'!M702</f>
        <v>430958</v>
      </c>
      <c r="S568" s="37" t="n">
        <f aca="false">'Assumptions &amp; Data'!Q702</f>
        <v>634500</v>
      </c>
      <c r="T568" s="37" t="n">
        <f aca="false">'Assumptions &amp; Data'!R702</f>
        <v>174025</v>
      </c>
      <c r="U568" s="37" t="n">
        <f aca="false">'Assumptions &amp; Data'!S702</f>
        <v>301931</v>
      </c>
      <c r="V568" s="39" t="n">
        <f aca="false">Q568-R568-S568-T568-U568</f>
        <v>510246.830633184</v>
      </c>
      <c r="W568" s="39" t="n">
        <f aca="false">DAY(EOMONTH(C568,0))</f>
        <v>31</v>
      </c>
      <c r="X568" s="40" t="n">
        <f aca="false">E568/W568</f>
        <v>1006.48387096774</v>
      </c>
      <c r="Y568" s="39" t="n">
        <f aca="false">R568+S568+T568+U568</f>
        <v>1541414</v>
      </c>
    </row>
    <row r="569" customFormat="false" ht="15" hidden="false" customHeight="false" outlineLevel="0" collapsed="false">
      <c r="A569" s="37" t="str">
        <f aca="false">'Assumptions &amp; Data'!A703</f>
        <v>SM0499</v>
      </c>
      <c r="B569" s="37" t="str">
        <f aca="false">'Assumptions &amp; Data'!B703</f>
        <v>DS042</v>
      </c>
      <c r="C569" s="38" t="n">
        <f aca="false">'Assumptions &amp; Data'!C703</f>
        <v>46113</v>
      </c>
      <c r="D569" s="39" t="str">
        <f aca="false">INDEX('Assumptions &amp; Data'!$B$142:$B$201,MATCH(B569,'Assumptions &amp; Data'!$A$142:$A$201,0))</f>
        <v>Hyderabad</v>
      </c>
      <c r="E569" s="37" t="n">
        <f aca="false">'Assumptions &amp; Data'!D703</f>
        <v>30533</v>
      </c>
      <c r="F569" s="39" t="n">
        <f aca="false">E569*'Assumptions &amp; Data'!E703</f>
        <v>18374759.4</v>
      </c>
      <c r="G569" s="39" t="n">
        <f aca="false">F569*'Assumptions &amp; Data'!F703</f>
        <v>1389131.81064</v>
      </c>
      <c r="H569" s="39" t="n">
        <f aca="false">F569-G569</f>
        <v>16985627.58936</v>
      </c>
      <c r="I569" s="39" t="n">
        <f aca="false">H569*'Assumptions &amp; Data'!G703</f>
        <v>2806025.67776227</v>
      </c>
      <c r="J569" s="39" t="n">
        <f aca="false">E569*'Assumptions &amp; Data'!H703</f>
        <v>374945.24</v>
      </c>
      <c r="K569" s="39" t="n">
        <f aca="false">H569*'Assumptions &amp; Data'!I703</f>
        <v>492583.20009144</v>
      </c>
      <c r="L569" s="39" t="n">
        <f aca="false">H569*'Assumptions &amp; Data'!J703</f>
        <v>344808.240064008</v>
      </c>
      <c r="M569" s="39" t="n">
        <f aca="false">I569+J569+K569-L569</f>
        <v>3328745.8777897</v>
      </c>
      <c r="N569" s="39" t="n">
        <f aca="false">E569*'Assumptions &amp; Data'!N703</f>
        <v>1032015.4</v>
      </c>
      <c r="O569" s="39" t="n">
        <f aca="false">E569*'Assumptions &amp; Data'!O703</f>
        <v>307772.64</v>
      </c>
      <c r="P569" s="39" t="n">
        <f aca="false">H569*'Assumptions &amp; Data'!P703</f>
        <v>173253.401411472</v>
      </c>
      <c r="Q569" s="39" t="n">
        <f aca="false">M569-N569-O569-P569</f>
        <v>1815704.43637823</v>
      </c>
      <c r="R569" s="39" t="n">
        <f aca="false">'Assumptions &amp; Data'!L703*'Assumptions &amp; Data'!M703</f>
        <v>431332</v>
      </c>
      <c r="S569" s="37" t="n">
        <f aca="false">'Assumptions &amp; Data'!Q703</f>
        <v>634500</v>
      </c>
      <c r="T569" s="37" t="n">
        <f aca="false">'Assumptions &amp; Data'!R703</f>
        <v>174348</v>
      </c>
      <c r="U569" s="37" t="n">
        <f aca="false">'Assumptions &amp; Data'!S703</f>
        <v>237828</v>
      </c>
      <c r="V569" s="39" t="n">
        <f aca="false">Q569-R569-S569-T569-U569</f>
        <v>337696.436378232</v>
      </c>
      <c r="W569" s="39" t="n">
        <f aca="false">DAY(EOMONTH(C569,0))</f>
        <v>30</v>
      </c>
      <c r="X569" s="40" t="n">
        <f aca="false">E569/W569</f>
        <v>1017.76666666667</v>
      </c>
      <c r="Y569" s="39" t="n">
        <f aca="false">R569+S569+T569+U569</f>
        <v>1478008</v>
      </c>
    </row>
    <row r="570" customFormat="false" ht="15" hidden="false" customHeight="false" outlineLevel="0" collapsed="false">
      <c r="A570" s="37" t="str">
        <f aca="false">'Assumptions &amp; Data'!A704</f>
        <v>SM0500</v>
      </c>
      <c r="B570" s="37" t="str">
        <f aca="false">'Assumptions &amp; Data'!B704</f>
        <v>DS042</v>
      </c>
      <c r="C570" s="38" t="n">
        <f aca="false">'Assumptions &amp; Data'!C704</f>
        <v>46143</v>
      </c>
      <c r="D570" s="39" t="str">
        <f aca="false">INDEX('Assumptions &amp; Data'!$B$142:$B$201,MATCH(B570,'Assumptions &amp; Data'!$A$142:$A$201,0))</f>
        <v>Hyderabad</v>
      </c>
      <c r="E570" s="37" t="n">
        <f aca="false">'Assumptions &amp; Data'!D704</f>
        <v>37170</v>
      </c>
      <c r="F570" s="39" t="n">
        <f aca="false">E570*'Assumptions &amp; Data'!E704</f>
        <v>22666266</v>
      </c>
      <c r="G570" s="39" t="n">
        <f aca="false">F570*'Assumptions &amp; Data'!F704</f>
        <v>1613838.1392</v>
      </c>
      <c r="H570" s="39" t="n">
        <f aca="false">F570-G570</f>
        <v>21052427.8608</v>
      </c>
      <c r="I570" s="39" t="n">
        <f aca="false">H570*'Assumptions &amp; Data'!G704</f>
        <v>3494703.0248928</v>
      </c>
      <c r="J570" s="39" t="n">
        <f aca="false">E570*'Assumptions &amp; Data'!H704</f>
        <v>470943.9</v>
      </c>
      <c r="K570" s="39" t="n">
        <f aca="false">H570*'Assumptions &amp; Data'!I704</f>
        <v>635783.32139616</v>
      </c>
      <c r="L570" s="39" t="n">
        <f aca="false">H570*'Assumptions &amp; Data'!J704</f>
        <v>414732.82885776</v>
      </c>
      <c r="M570" s="39" t="n">
        <f aca="false">I570+J570+K570-L570</f>
        <v>4186697.4174312</v>
      </c>
      <c r="N570" s="39" t="n">
        <f aca="false">E570*'Assumptions &amp; Data'!N704</f>
        <v>1220291.1</v>
      </c>
      <c r="O570" s="39" t="n">
        <f aca="false">E570*'Assumptions &amp; Data'!O704</f>
        <v>365752.8</v>
      </c>
      <c r="P570" s="39" t="n">
        <f aca="false">H570*'Assumptions &amp; Data'!P704</f>
        <v>204208.55024976</v>
      </c>
      <c r="Q570" s="39" t="n">
        <f aca="false">M570-N570-O570-P570</f>
        <v>2396444.96718144</v>
      </c>
      <c r="R570" s="39" t="n">
        <f aca="false">'Assumptions &amp; Data'!L704*'Assumptions &amp; Data'!M704</f>
        <v>510224</v>
      </c>
      <c r="S570" s="37" t="n">
        <f aca="false">'Assumptions &amp; Data'!Q704</f>
        <v>634500</v>
      </c>
      <c r="T570" s="37" t="n">
        <f aca="false">'Assumptions &amp; Data'!R704</f>
        <v>180907</v>
      </c>
      <c r="U570" s="37" t="n">
        <f aca="false">'Assumptions &amp; Data'!S704</f>
        <v>295886</v>
      </c>
      <c r="V570" s="39" t="n">
        <f aca="false">Q570-R570-S570-T570-U570</f>
        <v>774927.96718144</v>
      </c>
      <c r="W570" s="39" t="n">
        <f aca="false">DAY(EOMONTH(C570,0))</f>
        <v>31</v>
      </c>
      <c r="X570" s="40" t="n">
        <f aca="false">E570/W570</f>
        <v>1199.03225806452</v>
      </c>
      <c r="Y570" s="39" t="n">
        <f aca="false">R570+S570+T570+U570</f>
        <v>1621517</v>
      </c>
    </row>
    <row r="571" customFormat="false" ht="15" hidden="false" customHeight="false" outlineLevel="0" collapsed="false">
      <c r="A571" s="37" t="str">
        <f aca="false">'Assumptions &amp; Data'!A705</f>
        <v>SM0501</v>
      </c>
      <c r="B571" s="37" t="str">
        <f aca="false">'Assumptions &amp; Data'!B705</f>
        <v>DS042</v>
      </c>
      <c r="C571" s="38" t="n">
        <f aca="false">'Assumptions &amp; Data'!C705</f>
        <v>46174</v>
      </c>
      <c r="D571" s="39" t="str">
        <f aca="false">INDEX('Assumptions &amp; Data'!$B$142:$B$201,MATCH(B571,'Assumptions &amp; Data'!$A$142:$A$201,0))</f>
        <v>Hyderabad</v>
      </c>
      <c r="E571" s="37" t="n">
        <f aca="false">'Assumptions &amp; Data'!D705</f>
        <v>36859</v>
      </c>
      <c r="F571" s="39" t="n">
        <f aca="false">E571*'Assumptions &amp; Data'!E705</f>
        <v>22550336.2</v>
      </c>
      <c r="G571" s="39" t="n">
        <f aca="false">F571*'Assumptions &amp; Data'!F705</f>
        <v>1535677.89522</v>
      </c>
      <c r="H571" s="39" t="n">
        <f aca="false">F571-G571</f>
        <v>21014658.30478</v>
      </c>
      <c r="I571" s="39" t="n">
        <f aca="false">H571*'Assumptions &amp; Data'!G705</f>
        <v>3536766.99269447</v>
      </c>
      <c r="J571" s="39" t="n">
        <f aca="false">E571*'Assumptions &amp; Data'!H705</f>
        <v>495016.37</v>
      </c>
      <c r="K571" s="39" t="n">
        <f aca="false">H571*'Assumptions &amp; Data'!I705</f>
        <v>626236.817482444</v>
      </c>
      <c r="L571" s="39" t="n">
        <f aca="false">H571*'Assumptions &amp; Data'!J705</f>
        <v>443409.290230858</v>
      </c>
      <c r="M571" s="39" t="n">
        <f aca="false">I571+J571+K571-L571</f>
        <v>4214610.88994606</v>
      </c>
      <c r="N571" s="39" t="n">
        <f aca="false">E571*'Assumptions &amp; Data'!N705</f>
        <v>1196811.73</v>
      </c>
      <c r="O571" s="39" t="n">
        <f aca="false">E571*'Assumptions &amp; Data'!O705</f>
        <v>359743.84</v>
      </c>
      <c r="P571" s="39" t="n">
        <f aca="false">H571*'Assumptions &amp; Data'!P705</f>
        <v>216450.980539234</v>
      </c>
      <c r="Q571" s="39" t="n">
        <f aca="false">M571-N571-O571-P571</f>
        <v>2441604.33940683</v>
      </c>
      <c r="R571" s="39" t="n">
        <f aca="false">'Assumptions &amp; Data'!L705*'Assumptions &amp; Data'!M705</f>
        <v>471408</v>
      </c>
      <c r="S571" s="37" t="n">
        <f aca="false">'Assumptions &amp; Data'!Q705</f>
        <v>634500</v>
      </c>
      <c r="T571" s="37" t="n">
        <f aca="false">'Assumptions &amp; Data'!R705</f>
        <v>175229</v>
      </c>
      <c r="U571" s="37" t="n">
        <f aca="false">'Assumptions &amp; Data'!S705</f>
        <v>289529</v>
      </c>
      <c r="V571" s="39" t="n">
        <f aca="false">Q571-R571-S571-T571-U571</f>
        <v>870938.339406826</v>
      </c>
      <c r="W571" s="39" t="n">
        <f aca="false">DAY(EOMONTH(C571,0))</f>
        <v>30</v>
      </c>
      <c r="X571" s="40" t="n">
        <f aca="false">E571/W571</f>
        <v>1228.63333333333</v>
      </c>
      <c r="Y571" s="39" t="n">
        <f aca="false">R571+S571+T571+U571</f>
        <v>1570666</v>
      </c>
    </row>
    <row r="572" customFormat="false" ht="15" hidden="false" customHeight="false" outlineLevel="0" collapsed="false">
      <c r="A572" s="37" t="str">
        <f aca="false">'Assumptions &amp; Data'!A706</f>
        <v>SM0502</v>
      </c>
      <c r="B572" s="37" t="str">
        <f aca="false">'Assumptions &amp; Data'!B706</f>
        <v>DS042</v>
      </c>
      <c r="C572" s="38" t="n">
        <f aca="false">'Assumptions &amp; Data'!C706</f>
        <v>46204</v>
      </c>
      <c r="D572" s="39" t="str">
        <f aca="false">INDEX('Assumptions &amp; Data'!$B$142:$B$201,MATCH(B572,'Assumptions &amp; Data'!$A$142:$A$201,0))</f>
        <v>Hyderabad</v>
      </c>
      <c r="E572" s="37" t="n">
        <f aca="false">'Assumptions &amp; Data'!D706</f>
        <v>37760</v>
      </c>
      <c r="F572" s="39" t="n">
        <f aca="false">E572*'Assumptions &amp; Data'!E706</f>
        <v>23380992</v>
      </c>
      <c r="G572" s="39" t="n">
        <f aca="false">F572*'Assumptions &amp; Data'!F706</f>
        <v>1575878.8608</v>
      </c>
      <c r="H572" s="39" t="n">
        <f aca="false">F572-G572</f>
        <v>21805113.1392</v>
      </c>
      <c r="I572" s="39" t="n">
        <f aca="false">H572*'Assumptions &amp; Data'!G706</f>
        <v>3597843.667968</v>
      </c>
      <c r="J572" s="39" t="n">
        <f aca="false">E572*'Assumptions &amp; Data'!H706</f>
        <v>522976</v>
      </c>
      <c r="K572" s="39" t="n">
        <f aca="false">H572*'Assumptions &amp; Data'!I706</f>
        <v>649792.37154816</v>
      </c>
      <c r="L572" s="39" t="n">
        <f aca="false">H572*'Assumptions &amp; Data'!J706</f>
        <v>451365.84198144</v>
      </c>
      <c r="M572" s="39" t="n">
        <f aca="false">I572+J572+K572-L572</f>
        <v>4319246.19753472</v>
      </c>
      <c r="N572" s="39" t="n">
        <f aca="false">E572*'Assumptions &amp; Data'!N706</f>
        <v>1246080</v>
      </c>
      <c r="O572" s="39" t="n">
        <f aca="false">E572*'Assumptions &amp; Data'!O706</f>
        <v>381376</v>
      </c>
      <c r="P572" s="39" t="n">
        <f aca="false">H572*'Assumptions &amp; Data'!P706</f>
        <v>211509.59745024</v>
      </c>
      <c r="Q572" s="39" t="n">
        <f aca="false">M572-N572-O572-P572</f>
        <v>2480280.60008448</v>
      </c>
      <c r="R572" s="39" t="n">
        <f aca="false">'Assumptions &amp; Data'!L706*'Assumptions &amp; Data'!M706</f>
        <v>491500</v>
      </c>
      <c r="S572" s="37" t="n">
        <f aca="false">'Assumptions &amp; Data'!Q706</f>
        <v>634500</v>
      </c>
      <c r="T572" s="37" t="n">
        <f aca="false">'Assumptions &amp; Data'!R706</f>
        <v>165816</v>
      </c>
      <c r="U572" s="37" t="n">
        <f aca="false">'Assumptions &amp; Data'!S706</f>
        <v>281365</v>
      </c>
      <c r="V572" s="39" t="n">
        <f aca="false">Q572-R572-S572-T572-U572</f>
        <v>907099.60008448</v>
      </c>
      <c r="W572" s="39" t="n">
        <f aca="false">DAY(EOMONTH(C572,0))</f>
        <v>31</v>
      </c>
      <c r="X572" s="40" t="n">
        <f aca="false">E572/W572</f>
        <v>1218.06451612903</v>
      </c>
      <c r="Y572" s="39" t="n">
        <f aca="false">R572+S572+T572+U572</f>
        <v>1573181</v>
      </c>
    </row>
    <row r="573" customFormat="false" ht="15" hidden="false" customHeight="false" outlineLevel="0" collapsed="false">
      <c r="A573" s="37" t="str">
        <f aca="false">'Assumptions &amp; Data'!A707</f>
        <v>SM0503</v>
      </c>
      <c r="B573" s="37" t="str">
        <f aca="false">'Assumptions &amp; Data'!B707</f>
        <v>DS042</v>
      </c>
      <c r="C573" s="38" t="n">
        <f aca="false">'Assumptions &amp; Data'!C707</f>
        <v>46235</v>
      </c>
      <c r="D573" s="39" t="str">
        <f aca="false">INDEX('Assumptions &amp; Data'!$B$142:$B$201,MATCH(B573,'Assumptions &amp; Data'!$A$142:$A$201,0))</f>
        <v>Hyderabad</v>
      </c>
      <c r="E573" s="37" t="n">
        <f aca="false">'Assumptions &amp; Data'!D707</f>
        <v>39591</v>
      </c>
      <c r="F573" s="39" t="n">
        <f aca="false">E573*'Assumptions &amp; Data'!E707</f>
        <v>24296996.7</v>
      </c>
      <c r="G573" s="39" t="n">
        <f aca="false">F573*'Assumptions &amp; Data'!F707</f>
        <v>1666773.97362</v>
      </c>
      <c r="H573" s="39" t="n">
        <f aca="false">F573-G573</f>
        <v>22630222.72638</v>
      </c>
      <c r="I573" s="39" t="n">
        <f aca="false">H573*'Assumptions &amp; Data'!G707</f>
        <v>3806403.46257712</v>
      </c>
      <c r="J573" s="39" t="n">
        <f aca="false">E573*'Assumptions &amp; Data'!H707</f>
        <v>476675.64</v>
      </c>
      <c r="K573" s="39" t="n">
        <f aca="false">H573*'Assumptions &amp; Data'!I707</f>
        <v>678906.6817914</v>
      </c>
      <c r="L573" s="39" t="n">
        <f aca="false">H573*'Assumptions &amp; Data'!J707</f>
        <v>472971.654981342</v>
      </c>
      <c r="M573" s="39" t="n">
        <f aca="false">I573+J573+K573-L573</f>
        <v>4489014.12938718</v>
      </c>
      <c r="N573" s="39" t="n">
        <f aca="false">E573*'Assumptions &amp; Data'!N707</f>
        <v>1295021.61</v>
      </c>
      <c r="O573" s="39" t="n">
        <f aca="false">E573*'Assumptions &amp; Data'!O707</f>
        <v>381657.24</v>
      </c>
      <c r="P573" s="39" t="n">
        <f aca="false">H573*'Assumptions &amp; Data'!P707</f>
        <v>221776.182718524</v>
      </c>
      <c r="Q573" s="39" t="n">
        <f aca="false">M573-N573-O573-P573</f>
        <v>2590559.09666865</v>
      </c>
      <c r="R573" s="39" t="n">
        <f aca="false">'Assumptions &amp; Data'!L707*'Assumptions &amp; Data'!M707</f>
        <v>570633</v>
      </c>
      <c r="S573" s="37" t="n">
        <f aca="false">'Assumptions &amp; Data'!Q707</f>
        <v>634500</v>
      </c>
      <c r="T573" s="37" t="n">
        <f aca="false">'Assumptions &amp; Data'!R707</f>
        <v>182467</v>
      </c>
      <c r="U573" s="37" t="n">
        <f aca="false">'Assumptions &amp; Data'!S707</f>
        <v>296669</v>
      </c>
      <c r="V573" s="39" t="n">
        <f aca="false">Q573-R573-S573-T573-U573</f>
        <v>906290.09666865</v>
      </c>
      <c r="W573" s="39" t="n">
        <f aca="false">DAY(EOMONTH(C573,0))</f>
        <v>31</v>
      </c>
      <c r="X573" s="40" t="n">
        <f aca="false">E573/W573</f>
        <v>1277.12903225806</v>
      </c>
      <c r="Y573" s="39" t="n">
        <f aca="false">R573+S573+T573+U573</f>
        <v>1684269</v>
      </c>
    </row>
    <row r="574" customFormat="false" ht="15" hidden="false" customHeight="false" outlineLevel="0" collapsed="false">
      <c r="A574" s="37" t="str">
        <f aca="false">'Assumptions &amp; Data'!A708</f>
        <v>SM0504</v>
      </c>
      <c r="B574" s="37" t="str">
        <f aca="false">'Assumptions &amp; Data'!B708</f>
        <v>DS042</v>
      </c>
      <c r="C574" s="38" t="n">
        <f aca="false">'Assumptions &amp; Data'!C708</f>
        <v>46266</v>
      </c>
      <c r="D574" s="39" t="str">
        <f aca="false">INDEX('Assumptions &amp; Data'!$B$142:$B$201,MATCH(B574,'Assumptions &amp; Data'!$A$142:$A$201,0))</f>
        <v>Hyderabad</v>
      </c>
      <c r="E574" s="37" t="n">
        <f aca="false">'Assumptions &amp; Data'!D708</f>
        <v>41167</v>
      </c>
      <c r="F574" s="39" t="n">
        <f aca="false">E574*'Assumptions &amp; Data'!E708</f>
        <v>25128336.8</v>
      </c>
      <c r="G574" s="39" t="n">
        <f aca="false">F574*'Assumptions &amp; Data'!F708</f>
        <v>1728829.57184</v>
      </c>
      <c r="H574" s="39" t="n">
        <f aca="false">F574-G574</f>
        <v>23399507.22816</v>
      </c>
      <c r="I574" s="39" t="n">
        <f aca="false">H574*'Assumptions &amp; Data'!G708</f>
        <v>3910057.65782554</v>
      </c>
      <c r="J574" s="39" t="n">
        <f aca="false">E574*'Assumptions &amp; Data'!H708</f>
        <v>519527.54</v>
      </c>
      <c r="K574" s="39" t="n">
        <f aca="false">H574*'Assumptions &amp; Data'!I708</f>
        <v>774523.689252096</v>
      </c>
      <c r="L574" s="39" t="n">
        <f aca="false">H574*'Assumptions &amp; Data'!J708</f>
        <v>451610.489503488</v>
      </c>
      <c r="M574" s="39" t="n">
        <f aca="false">I574+J574+K574-L574</f>
        <v>4752498.39757414</v>
      </c>
      <c r="N574" s="39" t="n">
        <f aca="false">E574*'Assumptions &amp; Data'!N708</f>
        <v>1342044.2</v>
      </c>
      <c r="O574" s="39" t="n">
        <f aca="false">E574*'Assumptions &amp; Data'!O708</f>
        <v>399731.57</v>
      </c>
      <c r="P574" s="39" t="n">
        <f aca="false">H574*'Assumptions &amp; Data'!P708</f>
        <v>238674.973727232</v>
      </c>
      <c r="Q574" s="39" t="n">
        <f aca="false">M574-N574-O574-P574</f>
        <v>2772047.65384691</v>
      </c>
      <c r="R574" s="39" t="n">
        <f aca="false">'Assumptions &amp; Data'!L708*'Assumptions &amp; Data'!M708</f>
        <v>610545</v>
      </c>
      <c r="S574" s="37" t="n">
        <f aca="false">'Assumptions &amp; Data'!Q708</f>
        <v>634500</v>
      </c>
      <c r="T574" s="37" t="n">
        <f aca="false">'Assumptions &amp; Data'!R708</f>
        <v>189702</v>
      </c>
      <c r="U574" s="37" t="n">
        <f aca="false">'Assumptions &amp; Data'!S708</f>
        <v>267863</v>
      </c>
      <c r="V574" s="39" t="n">
        <f aca="false">Q574-R574-S574-T574-U574</f>
        <v>1069437.65384691</v>
      </c>
      <c r="W574" s="39" t="n">
        <f aca="false">DAY(EOMONTH(C574,0))</f>
        <v>30</v>
      </c>
      <c r="X574" s="40" t="n">
        <f aca="false">E574/W574</f>
        <v>1372.23333333333</v>
      </c>
      <c r="Y574" s="39" t="n">
        <f aca="false">R574+S574+T574+U574</f>
        <v>1702610</v>
      </c>
    </row>
    <row r="575" customFormat="false" ht="15" hidden="false" customHeight="false" outlineLevel="0" collapsed="false">
      <c r="A575" s="37" t="str">
        <f aca="false">'Assumptions &amp; Data'!A709</f>
        <v>SM0505</v>
      </c>
      <c r="B575" s="37" t="str">
        <f aca="false">'Assumptions &amp; Data'!B709</f>
        <v>DS043</v>
      </c>
      <c r="C575" s="38" t="n">
        <f aca="false">'Assumptions &amp; Data'!C709</f>
        <v>45931</v>
      </c>
      <c r="D575" s="39" t="str">
        <f aca="false">INDEX('Assumptions &amp; Data'!$B$142:$B$201,MATCH(B575,'Assumptions &amp; Data'!$A$142:$A$201,0))</f>
        <v>Hyderabad</v>
      </c>
      <c r="E575" s="37" t="n">
        <f aca="false">'Assumptions &amp; Data'!D709</f>
        <v>3896</v>
      </c>
      <c r="F575" s="39" t="n">
        <f aca="false">E575*'Assumptions &amp; Data'!E709</f>
        <v>2472401.6</v>
      </c>
      <c r="G575" s="39" t="n">
        <f aca="false">F575*'Assumptions &amp; Data'!F709</f>
        <v>196061.44688</v>
      </c>
      <c r="H575" s="39" t="n">
        <f aca="false">F575-G575</f>
        <v>2276340.15312</v>
      </c>
      <c r="I575" s="39" t="n">
        <f aca="false">H575*'Assumptions &amp; Data'!G709</f>
        <v>376734.29534136</v>
      </c>
      <c r="J575" s="39" t="n">
        <f aca="false">E575*'Assumptions &amp; Data'!H709</f>
        <v>44570.24</v>
      </c>
      <c r="K575" s="39" t="n">
        <f aca="false">H575*'Assumptions &amp; Data'!I709</f>
        <v>36193.808434608</v>
      </c>
      <c r="L575" s="39" t="n">
        <f aca="false">H575*'Assumptions &amp; Data'!J709</f>
        <v>88549.631956368</v>
      </c>
      <c r="M575" s="39" t="n">
        <f aca="false">I575+J575+K575-L575</f>
        <v>368948.7118196</v>
      </c>
      <c r="N575" s="39" t="n">
        <f aca="false">E575*'Assumptions &amp; Data'!N709</f>
        <v>183306.8</v>
      </c>
      <c r="O575" s="39" t="n">
        <f aca="false">E575*'Assumptions &amp; Data'!O709</f>
        <v>37674.32</v>
      </c>
      <c r="P575" s="39" t="n">
        <f aca="false">H575*'Assumptions &amp; Data'!P709</f>
        <v>22308.133500576</v>
      </c>
      <c r="Q575" s="39" t="n">
        <f aca="false">M575-N575-O575-P575</f>
        <v>125659.458319024</v>
      </c>
      <c r="R575" s="39" t="n">
        <f aca="false">'Assumptions &amp; Data'!L709*'Assumptions &amp; Data'!M709</f>
        <v>312000</v>
      </c>
      <c r="S575" s="37" t="n">
        <f aca="false">'Assumptions &amp; Data'!Q709</f>
        <v>504000</v>
      </c>
      <c r="T575" s="37" t="n">
        <f aca="false">'Assumptions &amp; Data'!R709</f>
        <v>171224</v>
      </c>
      <c r="U575" s="37" t="n">
        <f aca="false">'Assumptions &amp; Data'!S709</f>
        <v>74777</v>
      </c>
      <c r="V575" s="39" t="n">
        <f aca="false">Q575-R575-S575-T575-U575</f>
        <v>-936341.541680976</v>
      </c>
      <c r="W575" s="39" t="n">
        <f aca="false">DAY(EOMONTH(C575,0))</f>
        <v>31</v>
      </c>
      <c r="X575" s="40" t="n">
        <f aca="false">E575/W575</f>
        <v>125.677419354839</v>
      </c>
      <c r="Y575" s="39" t="n">
        <f aca="false">R575+S575+T575+U575</f>
        <v>1062001</v>
      </c>
    </row>
    <row r="576" customFormat="false" ht="15" hidden="false" customHeight="false" outlineLevel="0" collapsed="false">
      <c r="A576" s="37" t="str">
        <f aca="false">'Assumptions &amp; Data'!A710</f>
        <v>SM0506</v>
      </c>
      <c r="B576" s="37" t="str">
        <f aca="false">'Assumptions &amp; Data'!B710</f>
        <v>DS043</v>
      </c>
      <c r="C576" s="38" t="n">
        <f aca="false">'Assumptions &amp; Data'!C710</f>
        <v>45962</v>
      </c>
      <c r="D576" s="39" t="str">
        <f aca="false">INDEX('Assumptions &amp; Data'!$B$142:$B$201,MATCH(B576,'Assumptions &amp; Data'!$A$142:$A$201,0))</f>
        <v>Hyderabad</v>
      </c>
      <c r="E576" s="37" t="n">
        <f aca="false">'Assumptions &amp; Data'!D710</f>
        <v>4013</v>
      </c>
      <c r="F576" s="39" t="n">
        <f aca="false">E576*'Assumptions &amp; Data'!E710</f>
        <v>2581964.2</v>
      </c>
      <c r="G576" s="39" t="n">
        <f aca="false">F576*'Assumptions &amp; Data'!F710</f>
        <v>208364.51094</v>
      </c>
      <c r="H576" s="39" t="n">
        <f aca="false">F576-G576</f>
        <v>2373599.68906</v>
      </c>
      <c r="I576" s="39" t="n">
        <f aca="false">H576*'Assumptions &amp; Data'!G710</f>
        <v>392356.028601618</v>
      </c>
      <c r="J576" s="39" t="n">
        <f aca="false">E576*'Assumptions &amp; Data'!H710</f>
        <v>47594.18</v>
      </c>
      <c r="K576" s="39" t="n">
        <f aca="false">H576*'Assumptions &amp; Data'!I710</f>
        <v>42962.154371986</v>
      </c>
      <c r="L576" s="39" t="n">
        <f aca="false">H576*'Assumptions &amp; Data'!J710</f>
        <v>92333.027904434</v>
      </c>
      <c r="M576" s="39" t="n">
        <f aca="false">I576+J576+K576-L576</f>
        <v>390579.33506917</v>
      </c>
      <c r="N576" s="39" t="n">
        <f aca="false">E576*'Assumptions &amp; Data'!N710</f>
        <v>189975.42</v>
      </c>
      <c r="O576" s="39" t="n">
        <f aca="false">E576*'Assumptions &amp; Data'!O710</f>
        <v>39849.09</v>
      </c>
      <c r="P576" s="39" t="n">
        <f aca="false">H576*'Assumptions &amp; Data'!P710</f>
        <v>24210.716828412</v>
      </c>
      <c r="Q576" s="39" t="n">
        <f aca="false">M576-N576-O576-P576</f>
        <v>136544.108240758</v>
      </c>
      <c r="R576" s="39" t="n">
        <f aca="false">'Assumptions &amp; Data'!L710*'Assumptions &amp; Data'!M710</f>
        <v>312288</v>
      </c>
      <c r="S576" s="37" t="n">
        <f aca="false">'Assumptions &amp; Data'!Q710</f>
        <v>504000</v>
      </c>
      <c r="T576" s="37" t="n">
        <f aca="false">'Assumptions &amp; Data'!R710</f>
        <v>177495</v>
      </c>
      <c r="U576" s="37" t="n">
        <f aca="false">'Assumptions &amp; Data'!S710</f>
        <v>82634</v>
      </c>
      <c r="V576" s="39" t="n">
        <f aca="false">Q576-R576-S576-T576-U576</f>
        <v>-939872.891759242</v>
      </c>
      <c r="W576" s="39" t="n">
        <f aca="false">DAY(EOMONTH(C576,0))</f>
        <v>30</v>
      </c>
      <c r="X576" s="40" t="n">
        <f aca="false">E576/W576</f>
        <v>133.766666666667</v>
      </c>
      <c r="Y576" s="39" t="n">
        <f aca="false">R576+S576+T576+U576</f>
        <v>1076417</v>
      </c>
    </row>
    <row r="577" customFormat="false" ht="15" hidden="false" customHeight="false" outlineLevel="0" collapsed="false">
      <c r="A577" s="37" t="str">
        <f aca="false">'Assumptions &amp; Data'!A711</f>
        <v>SM0507</v>
      </c>
      <c r="B577" s="37" t="str">
        <f aca="false">'Assumptions &amp; Data'!B711</f>
        <v>DS043</v>
      </c>
      <c r="C577" s="38" t="n">
        <f aca="false">'Assumptions &amp; Data'!C711</f>
        <v>45992</v>
      </c>
      <c r="D577" s="39" t="str">
        <f aca="false">INDEX('Assumptions &amp; Data'!$B$142:$B$201,MATCH(B577,'Assumptions &amp; Data'!$A$142:$A$201,0))</f>
        <v>Hyderabad</v>
      </c>
      <c r="E577" s="37" t="n">
        <f aca="false">'Assumptions &amp; Data'!D711</f>
        <v>4247</v>
      </c>
      <c r="F577" s="39" t="n">
        <f aca="false">E577*'Assumptions &amp; Data'!E711</f>
        <v>2698119.1</v>
      </c>
      <c r="G577" s="39" t="n">
        <f aca="false">F577*'Assumptions &amp; Data'!F711</f>
        <v>220436.33047</v>
      </c>
      <c r="H577" s="39" t="n">
        <f aca="false">F577-G577</f>
        <v>2477682.76953</v>
      </c>
      <c r="I577" s="39" t="n">
        <f aca="false">H577*'Assumptions &amp; Data'!G711</f>
        <v>397172.547955659</v>
      </c>
      <c r="J577" s="39" t="n">
        <f aca="false">E577*'Assumptions &amp; Data'!H711</f>
        <v>51685.99</v>
      </c>
      <c r="K577" s="39" t="n">
        <f aca="false">H577*'Assumptions &amp; Data'!I711</f>
        <v>46580.436067164</v>
      </c>
      <c r="L577" s="39" t="n">
        <f aca="false">H577*'Assumptions &amp; Data'!J711</f>
        <v>96877.396288623</v>
      </c>
      <c r="M577" s="39" t="n">
        <f aca="false">I577+J577+K577-L577</f>
        <v>398561.5777342</v>
      </c>
      <c r="N577" s="39" t="n">
        <f aca="false">E577*'Assumptions &amp; Data'!N711</f>
        <v>205724.68</v>
      </c>
      <c r="O577" s="39" t="n">
        <f aca="false">E577*'Assumptions &amp; Data'!O711</f>
        <v>41832.95</v>
      </c>
      <c r="P577" s="39" t="n">
        <f aca="false">H577*'Assumptions &amp; Data'!P711</f>
        <v>26015.669080065</v>
      </c>
      <c r="Q577" s="39" t="n">
        <f aca="false">M577-N577-O577-P577</f>
        <v>124988.278654135</v>
      </c>
      <c r="R577" s="39" t="n">
        <f aca="false">'Assumptions &amp; Data'!L711*'Assumptions &amp; Data'!M711</f>
        <v>312560</v>
      </c>
      <c r="S577" s="37" t="n">
        <f aca="false">'Assumptions &amp; Data'!Q711</f>
        <v>504000</v>
      </c>
      <c r="T577" s="37" t="n">
        <f aca="false">'Assumptions &amp; Data'!R711</f>
        <v>169428</v>
      </c>
      <c r="U577" s="37" t="n">
        <f aca="false">'Assumptions &amp; Data'!S711</f>
        <v>82957</v>
      </c>
      <c r="V577" s="39" t="n">
        <f aca="false">Q577-R577-S577-T577-U577</f>
        <v>-943956.721345865</v>
      </c>
      <c r="W577" s="39" t="n">
        <f aca="false">DAY(EOMONTH(C577,0))</f>
        <v>31</v>
      </c>
      <c r="X577" s="40" t="n">
        <f aca="false">E577/W577</f>
        <v>137</v>
      </c>
      <c r="Y577" s="39" t="n">
        <f aca="false">R577+S577+T577+U577</f>
        <v>1068945</v>
      </c>
    </row>
    <row r="578" customFormat="false" ht="15" hidden="false" customHeight="false" outlineLevel="0" collapsed="false">
      <c r="A578" s="37" t="str">
        <f aca="false">'Assumptions &amp; Data'!A712</f>
        <v>SM0508</v>
      </c>
      <c r="B578" s="37" t="str">
        <f aca="false">'Assumptions &amp; Data'!B712</f>
        <v>DS043</v>
      </c>
      <c r="C578" s="38" t="n">
        <f aca="false">'Assumptions &amp; Data'!C712</f>
        <v>46023</v>
      </c>
      <c r="D578" s="39" t="str">
        <f aca="false">INDEX('Assumptions &amp; Data'!$B$142:$B$201,MATCH(B578,'Assumptions &amp; Data'!$A$142:$A$201,0))</f>
        <v>Hyderabad</v>
      </c>
      <c r="E578" s="37" t="n">
        <f aca="false">'Assumptions &amp; Data'!D712</f>
        <v>4087</v>
      </c>
      <c r="F578" s="39" t="n">
        <f aca="false">E578*'Assumptions &amp; Data'!E712</f>
        <v>2596879.8</v>
      </c>
      <c r="G578" s="39" t="n">
        <f aca="false">F578*'Assumptions &amp; Data'!F712</f>
        <v>210606.95178</v>
      </c>
      <c r="H578" s="39" t="n">
        <f aca="false">F578-G578</f>
        <v>2386272.84822</v>
      </c>
      <c r="I578" s="39" t="n">
        <f aca="false">H578*'Assumptions &amp; Data'!G712</f>
        <v>393257.765386656</v>
      </c>
      <c r="J578" s="39" t="n">
        <f aca="false">E578*'Assumptions &amp; Data'!H712</f>
        <v>47327.46</v>
      </c>
      <c r="K578" s="39" t="n">
        <f aca="false">H578*'Assumptions &amp; Data'!I712</f>
        <v>42714.283983138</v>
      </c>
      <c r="L578" s="39" t="n">
        <f aca="false">H578*'Assumptions &amp; Data'!J712</f>
        <v>94257.77750469</v>
      </c>
      <c r="M578" s="39" t="n">
        <f aca="false">I578+J578+K578-L578</f>
        <v>389041.731865104</v>
      </c>
      <c r="N578" s="39" t="n">
        <f aca="false">E578*'Assumptions &amp; Data'!N712</f>
        <v>193969.02</v>
      </c>
      <c r="O578" s="39" t="n">
        <f aca="false">E578*'Assumptions &amp; Data'!O712</f>
        <v>39970.86</v>
      </c>
      <c r="P578" s="39" t="n">
        <f aca="false">H578*'Assumptions &amp; Data'!P712</f>
        <v>24339.983051844</v>
      </c>
      <c r="Q578" s="39" t="n">
        <f aca="false">M578-N578-O578-P578</f>
        <v>130761.86881326</v>
      </c>
      <c r="R578" s="39" t="n">
        <f aca="false">'Assumptions &amp; Data'!L712*'Assumptions &amp; Data'!M712</f>
        <v>312848</v>
      </c>
      <c r="S578" s="37" t="n">
        <f aca="false">'Assumptions &amp; Data'!Q712</f>
        <v>504000</v>
      </c>
      <c r="T578" s="37" t="n">
        <f aca="false">'Assumptions &amp; Data'!R712</f>
        <v>166525</v>
      </c>
      <c r="U578" s="37" t="n">
        <f aca="false">'Assumptions &amp; Data'!S712</f>
        <v>79719</v>
      </c>
      <c r="V578" s="39" t="n">
        <f aca="false">Q578-R578-S578-T578-U578</f>
        <v>-932330.13118674</v>
      </c>
      <c r="W578" s="39" t="n">
        <f aca="false">DAY(EOMONTH(C578,0))</f>
        <v>31</v>
      </c>
      <c r="X578" s="40" t="n">
        <f aca="false">E578/W578</f>
        <v>131.838709677419</v>
      </c>
      <c r="Y578" s="39" t="n">
        <f aca="false">R578+S578+T578+U578</f>
        <v>1063092</v>
      </c>
    </row>
    <row r="579" customFormat="false" ht="15" hidden="false" customHeight="false" outlineLevel="0" collapsed="false">
      <c r="A579" s="37" t="str">
        <f aca="false">'Assumptions &amp; Data'!A713</f>
        <v>SM0509</v>
      </c>
      <c r="B579" s="37" t="str">
        <f aca="false">'Assumptions &amp; Data'!B713</f>
        <v>DS043</v>
      </c>
      <c r="C579" s="38" t="n">
        <f aca="false">'Assumptions &amp; Data'!C713</f>
        <v>46054</v>
      </c>
      <c r="D579" s="39" t="str">
        <f aca="false">INDEX('Assumptions &amp; Data'!$B$142:$B$201,MATCH(B579,'Assumptions &amp; Data'!$A$142:$A$201,0))</f>
        <v>Hyderabad</v>
      </c>
      <c r="E579" s="37" t="n">
        <f aca="false">'Assumptions &amp; Data'!D713</f>
        <v>3460</v>
      </c>
      <c r="F579" s="39" t="n">
        <f aca="false">E579*'Assumptions &amp; Data'!E713</f>
        <v>2152812</v>
      </c>
      <c r="G579" s="39" t="n">
        <f aca="false">F579*'Assumptions &amp; Data'!F713</f>
        <v>176100.0216</v>
      </c>
      <c r="H579" s="39" t="n">
        <f aca="false">F579-G579</f>
        <v>1976711.9784</v>
      </c>
      <c r="I579" s="39" t="n">
        <f aca="false">H579*'Assumptions &amp; Data'!G713</f>
        <v>324773.77805112</v>
      </c>
      <c r="J579" s="39" t="n">
        <f aca="false">E579*'Assumptions &amp; Data'!H713</f>
        <v>43250</v>
      </c>
      <c r="K579" s="39" t="n">
        <f aca="false">H579*'Assumptions &amp; Data'!I713</f>
        <v>34197.11722632</v>
      </c>
      <c r="L579" s="39" t="n">
        <f aca="false">H579*'Assumptions &amp; Data'!J713</f>
        <v>74522.04158568</v>
      </c>
      <c r="M579" s="39" t="n">
        <f aca="false">I579+J579+K579-L579</f>
        <v>327698.85369176</v>
      </c>
      <c r="N579" s="39" t="n">
        <f aca="false">E579*'Assumptions &amp; Data'!N713</f>
        <v>163346.6</v>
      </c>
      <c r="O579" s="39" t="n">
        <f aca="false">E579*'Assumptions &amp; Data'!O713</f>
        <v>34600</v>
      </c>
      <c r="P579" s="39" t="n">
        <f aca="false">H579*'Assumptions &amp; Data'!P713</f>
        <v>19174.10619048</v>
      </c>
      <c r="Q579" s="39" t="n">
        <f aca="false">M579-N579-O579-P579</f>
        <v>110578.14750128</v>
      </c>
      <c r="R579" s="39" t="n">
        <f aca="false">'Assumptions &amp; Data'!L713*'Assumptions &amp; Data'!M713</f>
        <v>313136</v>
      </c>
      <c r="S579" s="37" t="n">
        <f aca="false">'Assumptions &amp; Data'!Q713</f>
        <v>504000</v>
      </c>
      <c r="T579" s="37" t="n">
        <f aca="false">'Assumptions &amp; Data'!R713</f>
        <v>188047</v>
      </c>
      <c r="U579" s="37" t="n">
        <f aca="false">'Assumptions &amp; Data'!S713</f>
        <v>65360</v>
      </c>
      <c r="V579" s="39" t="n">
        <f aca="false">Q579-R579-S579-T579-U579</f>
        <v>-959964.85249872</v>
      </c>
      <c r="W579" s="39" t="n">
        <f aca="false">DAY(EOMONTH(C579,0))</f>
        <v>28</v>
      </c>
      <c r="X579" s="40" t="n">
        <f aca="false">E579/W579</f>
        <v>123.571428571429</v>
      </c>
      <c r="Y579" s="39" t="n">
        <f aca="false">R579+S579+T579+U579</f>
        <v>1070543</v>
      </c>
    </row>
    <row r="580" customFormat="false" ht="15" hidden="false" customHeight="false" outlineLevel="0" collapsed="false">
      <c r="A580" s="37" t="str">
        <f aca="false">'Assumptions &amp; Data'!A714</f>
        <v>SM0510</v>
      </c>
      <c r="B580" s="37" t="str">
        <f aca="false">'Assumptions &amp; Data'!B714</f>
        <v>DS043</v>
      </c>
      <c r="C580" s="38" t="n">
        <f aca="false">'Assumptions &amp; Data'!C714</f>
        <v>46082</v>
      </c>
      <c r="D580" s="39" t="str">
        <f aca="false">INDEX('Assumptions &amp; Data'!$B$142:$B$201,MATCH(B580,'Assumptions &amp; Data'!$A$142:$A$201,0))</f>
        <v>Hyderabad</v>
      </c>
      <c r="E580" s="37" t="n">
        <f aca="false">'Assumptions &amp; Data'!D714</f>
        <v>4140</v>
      </c>
      <c r="F580" s="39" t="n">
        <f aca="false">E580*'Assumptions &amp; Data'!E714</f>
        <v>2601576</v>
      </c>
      <c r="G580" s="39" t="n">
        <f aca="false">F580*'Assumptions &amp; Data'!F714</f>
        <v>212808.9168</v>
      </c>
      <c r="H580" s="39" t="n">
        <f aca="false">F580-G580</f>
        <v>2388767.0832</v>
      </c>
      <c r="I580" s="39" t="n">
        <f aca="false">H580*'Assumptions &amp; Data'!G714</f>
        <v>388891.28114496</v>
      </c>
      <c r="J580" s="39" t="n">
        <f aca="false">E580*'Assumptions &amp; Data'!H714</f>
        <v>48810.6</v>
      </c>
      <c r="K580" s="39" t="n">
        <f aca="false">H580*'Assumptions &amp; Data'!I714</f>
        <v>38936.90345616</v>
      </c>
      <c r="L580" s="39" t="n">
        <f aca="false">H580*'Assumptions &amp; Data'!J714</f>
        <v>91489.77928656</v>
      </c>
      <c r="M580" s="39" t="n">
        <f aca="false">I580+J580+K580-L580</f>
        <v>385149.00531456</v>
      </c>
      <c r="N580" s="39" t="n">
        <f aca="false">E580*'Assumptions &amp; Data'!N714</f>
        <v>194207.4</v>
      </c>
      <c r="O580" s="39" t="n">
        <f aca="false">E580*'Assumptions &amp; Data'!O714</f>
        <v>39951</v>
      </c>
      <c r="P580" s="39" t="n">
        <f aca="false">H580*'Assumptions &amp; Data'!P714</f>
        <v>23887.670832</v>
      </c>
      <c r="Q580" s="39" t="n">
        <f aca="false">M580-N580-O580-P580</f>
        <v>127102.93448256</v>
      </c>
      <c r="R580" s="39" t="n">
        <f aca="false">'Assumptions &amp; Data'!L714*'Assumptions &amp; Data'!M714</f>
        <v>313424</v>
      </c>
      <c r="S580" s="37" t="n">
        <f aca="false">'Assumptions &amp; Data'!Q714</f>
        <v>504000</v>
      </c>
      <c r="T580" s="37" t="n">
        <f aca="false">'Assumptions &amp; Data'!R714</f>
        <v>164064</v>
      </c>
      <c r="U580" s="37" t="n">
        <f aca="false">'Assumptions &amp; Data'!S714</f>
        <v>79378</v>
      </c>
      <c r="V580" s="39" t="n">
        <f aca="false">Q580-R580-S580-T580-U580</f>
        <v>-933763.06551744</v>
      </c>
      <c r="W580" s="39" t="n">
        <f aca="false">DAY(EOMONTH(C580,0))</f>
        <v>31</v>
      </c>
      <c r="X580" s="40" t="n">
        <f aca="false">E580/W580</f>
        <v>133.548387096774</v>
      </c>
      <c r="Y580" s="39" t="n">
        <f aca="false">R580+S580+T580+U580</f>
        <v>1060866</v>
      </c>
    </row>
    <row r="581" customFormat="false" ht="15" hidden="false" customHeight="false" outlineLevel="0" collapsed="false">
      <c r="A581" s="37" t="str">
        <f aca="false">'Assumptions &amp; Data'!A715</f>
        <v>SM0511</v>
      </c>
      <c r="B581" s="37" t="str">
        <f aca="false">'Assumptions &amp; Data'!B715</f>
        <v>DS043</v>
      </c>
      <c r="C581" s="38" t="n">
        <f aca="false">'Assumptions &amp; Data'!C715</f>
        <v>46113</v>
      </c>
      <c r="D581" s="39" t="str">
        <f aca="false">INDEX('Assumptions &amp; Data'!$B$142:$B$201,MATCH(B581,'Assumptions &amp; Data'!$A$142:$A$201,0))</f>
        <v>Hyderabad</v>
      </c>
      <c r="E581" s="37" t="n">
        <f aca="false">'Assumptions &amp; Data'!D715</f>
        <v>4159</v>
      </c>
      <c r="F581" s="39" t="n">
        <f aca="false">E581*'Assumptions &amp; Data'!E715</f>
        <v>2643460.4</v>
      </c>
      <c r="G581" s="39" t="n">
        <f aca="false">F581*'Assumptions &amp; Data'!F715</f>
        <v>219142.86716</v>
      </c>
      <c r="H581" s="39" t="n">
        <f aca="false">F581-G581</f>
        <v>2424317.53284</v>
      </c>
      <c r="I581" s="39" t="n">
        <f aca="false">H581*'Assumptions &amp; Data'!G715</f>
        <v>394921.326099636</v>
      </c>
      <c r="J581" s="39" t="n">
        <f aca="false">E581*'Assumptions &amp; Data'!H715</f>
        <v>49408.92</v>
      </c>
      <c r="K581" s="39" t="n">
        <f aca="false">H581*'Assumptions &amp; Data'!I715</f>
        <v>41455.829811564</v>
      </c>
      <c r="L581" s="39" t="n">
        <f aca="false">H581*'Assumptions &amp; Data'!J715</f>
        <v>92366.498001204</v>
      </c>
      <c r="M581" s="39" t="n">
        <f aca="false">I581+J581+K581-L581</f>
        <v>393419.577909996</v>
      </c>
      <c r="N581" s="39" t="n">
        <f aca="false">E581*'Assumptions &amp; Data'!N715</f>
        <v>197178.19</v>
      </c>
      <c r="O581" s="39" t="n">
        <f aca="false">E581*'Assumptions &amp; Data'!O715</f>
        <v>41506.82</v>
      </c>
      <c r="P581" s="39" t="n">
        <f aca="false">H581*'Assumptions &amp; Data'!P715</f>
        <v>25940.197601388</v>
      </c>
      <c r="Q581" s="39" t="n">
        <f aca="false">M581-N581-O581-P581</f>
        <v>128794.370308608</v>
      </c>
      <c r="R581" s="39" t="n">
        <f aca="false">'Assumptions &amp; Data'!L715*'Assumptions &amp; Data'!M715</f>
        <v>313696</v>
      </c>
      <c r="S581" s="37" t="n">
        <f aca="false">'Assumptions &amp; Data'!Q715</f>
        <v>504000</v>
      </c>
      <c r="T581" s="37" t="n">
        <f aca="false">'Assumptions &amp; Data'!R715</f>
        <v>167711</v>
      </c>
      <c r="U581" s="37" t="n">
        <f aca="false">'Assumptions &amp; Data'!S715</f>
        <v>80587</v>
      </c>
      <c r="V581" s="39" t="n">
        <f aca="false">Q581-R581-S581-T581-U581</f>
        <v>-937199.629691392</v>
      </c>
      <c r="W581" s="39" t="n">
        <f aca="false">DAY(EOMONTH(C581,0))</f>
        <v>30</v>
      </c>
      <c r="X581" s="40" t="n">
        <f aca="false">E581/W581</f>
        <v>138.633333333333</v>
      </c>
      <c r="Y581" s="39" t="n">
        <f aca="false">R581+S581+T581+U581</f>
        <v>1065994</v>
      </c>
    </row>
    <row r="582" customFormat="false" ht="15" hidden="false" customHeight="false" outlineLevel="0" collapsed="false">
      <c r="A582" s="37" t="str">
        <f aca="false">'Assumptions &amp; Data'!A716</f>
        <v>SM0512</v>
      </c>
      <c r="B582" s="37" t="str">
        <f aca="false">'Assumptions &amp; Data'!B716</f>
        <v>DS043</v>
      </c>
      <c r="C582" s="38" t="n">
        <f aca="false">'Assumptions &amp; Data'!C716</f>
        <v>46143</v>
      </c>
      <c r="D582" s="39" t="str">
        <f aca="false">INDEX('Assumptions &amp; Data'!$B$142:$B$201,MATCH(B582,'Assumptions &amp; Data'!$A$142:$A$201,0))</f>
        <v>Hyderabad</v>
      </c>
      <c r="E582" s="37" t="n">
        <f aca="false">'Assumptions &amp; Data'!D716</f>
        <v>8551</v>
      </c>
      <c r="F582" s="39" t="n">
        <f aca="false">E582*'Assumptions &amp; Data'!E716</f>
        <v>5502568.5</v>
      </c>
      <c r="G582" s="39" t="n">
        <f aca="false">F582*'Assumptions &amp; Data'!F716</f>
        <v>414893.6649</v>
      </c>
      <c r="H582" s="39" t="n">
        <f aca="false">F582-G582</f>
        <v>5087674.8351</v>
      </c>
      <c r="I582" s="39" t="n">
        <f aca="false">H582*'Assumptions &amp; Data'!G716</f>
        <v>824203.3232862</v>
      </c>
      <c r="J582" s="39" t="n">
        <f aca="false">E582*'Assumptions &amp; Data'!H716</f>
        <v>107315.05</v>
      </c>
      <c r="K582" s="39" t="n">
        <f aca="false">H582*'Assumptions &amp; Data'!I716</f>
        <v>96665.8218669</v>
      </c>
      <c r="L582" s="39" t="n">
        <f aca="false">H582*'Assumptions &amp; Data'!J716</f>
        <v>183665.06154711</v>
      </c>
      <c r="M582" s="39" t="n">
        <f aca="false">I582+J582+K582-L582</f>
        <v>844519.13360599</v>
      </c>
      <c r="N582" s="39" t="n">
        <f aca="false">E582*'Assumptions &amp; Data'!N716</f>
        <v>399246.19</v>
      </c>
      <c r="O582" s="39" t="n">
        <f aca="false">E582*'Assumptions &amp; Data'!O716</f>
        <v>82346.13</v>
      </c>
      <c r="P582" s="39" t="n">
        <f aca="false">H582*'Assumptions &amp; Data'!P716</f>
        <v>51385.51583451</v>
      </c>
      <c r="Q582" s="39" t="n">
        <f aca="false">M582-N582-O582-P582</f>
        <v>311541.29777148</v>
      </c>
      <c r="R582" s="39" t="n">
        <f aca="false">'Assumptions &amp; Data'!L716*'Assumptions &amp; Data'!M716</f>
        <v>313984</v>
      </c>
      <c r="S582" s="37" t="n">
        <f aca="false">'Assumptions &amp; Data'!Q716</f>
        <v>504000</v>
      </c>
      <c r="T582" s="37" t="n">
        <f aca="false">'Assumptions &amp; Data'!R716</f>
        <v>177614</v>
      </c>
      <c r="U582" s="37" t="n">
        <f aca="false">'Assumptions &amp; Data'!S716</f>
        <v>155092</v>
      </c>
      <c r="V582" s="39" t="n">
        <f aca="false">Q582-R582-S582-T582-U582</f>
        <v>-839148.70222852</v>
      </c>
      <c r="W582" s="39" t="n">
        <f aca="false">DAY(EOMONTH(C582,0))</f>
        <v>31</v>
      </c>
      <c r="X582" s="40" t="n">
        <f aca="false">E582/W582</f>
        <v>275.838709677419</v>
      </c>
      <c r="Y582" s="39" t="n">
        <f aca="false">R582+S582+T582+U582</f>
        <v>1150690</v>
      </c>
    </row>
    <row r="583" customFormat="false" ht="15" hidden="false" customHeight="false" outlineLevel="0" collapsed="false">
      <c r="A583" s="37" t="str">
        <f aca="false">'Assumptions &amp; Data'!A717</f>
        <v>SM0513</v>
      </c>
      <c r="B583" s="37" t="str">
        <f aca="false">'Assumptions &amp; Data'!B717</f>
        <v>DS043</v>
      </c>
      <c r="C583" s="38" t="n">
        <f aca="false">'Assumptions &amp; Data'!C717</f>
        <v>46174</v>
      </c>
      <c r="D583" s="39" t="str">
        <f aca="false">INDEX('Assumptions &amp; Data'!$B$142:$B$201,MATCH(B583,'Assumptions &amp; Data'!$A$142:$A$201,0))</f>
        <v>Hyderabad</v>
      </c>
      <c r="E583" s="37" t="n">
        <f aca="false">'Assumptions &amp; Data'!D717</f>
        <v>11480</v>
      </c>
      <c r="F583" s="39" t="n">
        <f aca="false">E583*'Assumptions &amp; Data'!E717</f>
        <v>7205996</v>
      </c>
      <c r="G583" s="39" t="n">
        <f aca="false">F583*'Assumptions &amp; Data'!F717</f>
        <v>546935.0964</v>
      </c>
      <c r="H583" s="39" t="n">
        <f aca="false">F583-G583</f>
        <v>6659060.9036</v>
      </c>
      <c r="I583" s="39" t="n">
        <f aca="false">H583*'Assumptions &amp; Data'!G717</f>
        <v>1079433.77247356</v>
      </c>
      <c r="J583" s="39" t="n">
        <f aca="false">E583*'Assumptions &amp; Data'!H717</f>
        <v>140744.8</v>
      </c>
      <c r="K583" s="39" t="n">
        <f aca="false">H583*'Assumptions &amp; Data'!I717</f>
        <v>131183.49980092</v>
      </c>
      <c r="L583" s="39" t="n">
        <f aca="false">H583*'Assumptions &amp; Data'!J717</f>
        <v>221746.72808988</v>
      </c>
      <c r="M583" s="39" t="n">
        <f aca="false">I583+J583+K583-L583</f>
        <v>1129615.3441846</v>
      </c>
      <c r="N583" s="39" t="n">
        <f aca="false">E583*'Assumptions &amp; Data'!N717</f>
        <v>508793.6</v>
      </c>
      <c r="O583" s="39" t="n">
        <f aca="false">E583*'Assumptions &amp; Data'!O717</f>
        <v>113537.2</v>
      </c>
      <c r="P583" s="39" t="n">
        <f aca="false">H583*'Assumptions &amp; Data'!P717</f>
        <v>64592.89076492</v>
      </c>
      <c r="Q583" s="39" t="n">
        <f aca="false">M583-N583-O583-P583</f>
        <v>442691.65341968</v>
      </c>
      <c r="R583" s="39" t="n">
        <f aca="false">'Assumptions &amp; Data'!L717*'Assumptions &amp; Data'!M717</f>
        <v>314272</v>
      </c>
      <c r="S583" s="37" t="n">
        <f aca="false">'Assumptions &amp; Data'!Q717</f>
        <v>504000</v>
      </c>
      <c r="T583" s="37" t="n">
        <f aca="false">'Assumptions &amp; Data'!R717</f>
        <v>176553</v>
      </c>
      <c r="U583" s="37" t="n">
        <f aca="false">'Assumptions &amp; Data'!S717</f>
        <v>185242</v>
      </c>
      <c r="V583" s="39" t="n">
        <f aca="false">Q583-R583-S583-T583-U583</f>
        <v>-737375.34658032</v>
      </c>
      <c r="W583" s="39" t="n">
        <f aca="false">DAY(EOMONTH(C583,0))</f>
        <v>30</v>
      </c>
      <c r="X583" s="40" t="n">
        <f aca="false">E583/W583</f>
        <v>382.666666666667</v>
      </c>
      <c r="Y583" s="39" t="n">
        <f aca="false">R583+S583+T583+U583</f>
        <v>1180067</v>
      </c>
    </row>
    <row r="584" customFormat="false" ht="15" hidden="false" customHeight="false" outlineLevel="0" collapsed="false">
      <c r="A584" s="37" t="str">
        <f aca="false">'Assumptions &amp; Data'!A718</f>
        <v>SM0514</v>
      </c>
      <c r="B584" s="37" t="str">
        <f aca="false">'Assumptions &amp; Data'!B718</f>
        <v>DS043</v>
      </c>
      <c r="C584" s="38" t="n">
        <f aca="false">'Assumptions &amp; Data'!C718</f>
        <v>46204</v>
      </c>
      <c r="D584" s="39" t="str">
        <f aca="false">INDEX('Assumptions &amp; Data'!$B$142:$B$201,MATCH(B584,'Assumptions &amp; Data'!$A$142:$A$201,0))</f>
        <v>Hyderabad</v>
      </c>
      <c r="E584" s="37" t="n">
        <f aca="false">'Assumptions &amp; Data'!D718</f>
        <v>14365</v>
      </c>
      <c r="F584" s="39" t="n">
        <f aca="false">E584*'Assumptions &amp; Data'!E718</f>
        <v>9151941.5</v>
      </c>
      <c r="G584" s="39" t="n">
        <f aca="false">F584*'Assumptions &amp; Data'!F718</f>
        <v>642466.2933</v>
      </c>
      <c r="H584" s="39" t="n">
        <f aca="false">F584-G584</f>
        <v>8509475.2067</v>
      </c>
      <c r="I584" s="39" t="n">
        <f aca="false">H584*'Assumptions &amp; Data'!G718</f>
        <v>1390448.24877478</v>
      </c>
      <c r="J584" s="39" t="n">
        <f aca="false">E584*'Assumptions &amp; Data'!H718</f>
        <v>162037.2</v>
      </c>
      <c r="K584" s="39" t="n">
        <f aca="false">H584*'Assumptions &amp; Data'!I718</f>
        <v>171891.39917534</v>
      </c>
      <c r="L584" s="39" t="n">
        <f aca="false">H584*'Assumptions &amp; Data'!J718</f>
        <v>277408.89173842</v>
      </c>
      <c r="M584" s="39" t="n">
        <f aca="false">I584+J584+K584-L584</f>
        <v>1446967.9562117</v>
      </c>
      <c r="N584" s="39" t="n">
        <f aca="false">E584*'Assumptions &amp; Data'!N718</f>
        <v>625883.05</v>
      </c>
      <c r="O584" s="39" t="n">
        <f aca="false">E584*'Assumptions &amp; Data'!O718</f>
        <v>143362.7</v>
      </c>
      <c r="P584" s="39" t="n">
        <f aca="false">H584*'Assumptions &amp; Data'!P718</f>
        <v>87647.59462901</v>
      </c>
      <c r="Q584" s="39" t="n">
        <f aca="false">M584-N584-O584-P584</f>
        <v>590074.61158269</v>
      </c>
      <c r="R584" s="39" t="n">
        <f aca="false">'Assumptions &amp; Data'!L718*'Assumptions &amp; Data'!M718</f>
        <v>314560</v>
      </c>
      <c r="S584" s="37" t="n">
        <f aca="false">'Assumptions &amp; Data'!Q718</f>
        <v>504000</v>
      </c>
      <c r="T584" s="37" t="n">
        <f aca="false">'Assumptions &amp; Data'!R718</f>
        <v>177143</v>
      </c>
      <c r="U584" s="37" t="n">
        <f aca="false">'Assumptions &amp; Data'!S718</f>
        <v>214181</v>
      </c>
      <c r="V584" s="39" t="n">
        <f aca="false">Q584-R584-S584-T584-U584</f>
        <v>-619809.38841731</v>
      </c>
      <c r="W584" s="39" t="n">
        <f aca="false">DAY(EOMONTH(C584,0))</f>
        <v>31</v>
      </c>
      <c r="X584" s="40" t="n">
        <f aca="false">E584/W584</f>
        <v>463.387096774194</v>
      </c>
      <c r="Y584" s="39" t="n">
        <f aca="false">R584+S584+T584+U584</f>
        <v>1209884</v>
      </c>
    </row>
    <row r="585" customFormat="false" ht="15" hidden="false" customHeight="false" outlineLevel="0" collapsed="false">
      <c r="A585" s="37" t="str">
        <f aca="false">'Assumptions &amp; Data'!A719</f>
        <v>SM0515</v>
      </c>
      <c r="B585" s="37" t="str">
        <f aca="false">'Assumptions &amp; Data'!B719</f>
        <v>DS043</v>
      </c>
      <c r="C585" s="38" t="n">
        <f aca="false">'Assumptions &amp; Data'!C719</f>
        <v>46235</v>
      </c>
      <c r="D585" s="39" t="str">
        <f aca="false">INDEX('Assumptions &amp; Data'!$B$142:$B$201,MATCH(B585,'Assumptions &amp; Data'!$A$142:$A$201,0))</f>
        <v>Hyderabad</v>
      </c>
      <c r="E585" s="37" t="n">
        <f aca="false">'Assumptions &amp; Data'!D719</f>
        <v>17048</v>
      </c>
      <c r="F585" s="39" t="n">
        <f aca="false">E585*'Assumptions &amp; Data'!E719</f>
        <v>10851052</v>
      </c>
      <c r="G585" s="39" t="n">
        <f aca="false">F585*'Assumptions &amp; Data'!F719</f>
        <v>735701.3256</v>
      </c>
      <c r="H585" s="39" t="n">
        <f aca="false">F585-G585</f>
        <v>10115350.6744</v>
      </c>
      <c r="I585" s="39" t="n">
        <f aca="false">H585*'Assumptions &amp; Data'!G719</f>
        <v>1675102.07168064</v>
      </c>
      <c r="J585" s="39" t="n">
        <f aca="false">E585*'Assumptions &amp; Data'!H719</f>
        <v>201336.88</v>
      </c>
      <c r="K585" s="39" t="n">
        <f aca="false">H585*'Assumptions &amp; Data'!I719</f>
        <v>231641.53044376</v>
      </c>
      <c r="L585" s="39" t="n">
        <f aca="false">H585*'Assumptions &amp; Data'!J719</f>
        <v>302448.98516456</v>
      </c>
      <c r="M585" s="39" t="n">
        <f aca="false">I585+J585+K585-L585</f>
        <v>1805631.49695984</v>
      </c>
      <c r="N585" s="39" t="n">
        <f aca="false">E585*'Assumptions &amp; Data'!N719</f>
        <v>729313.44</v>
      </c>
      <c r="O585" s="39" t="n">
        <f aca="false">E585*'Assumptions &amp; Data'!O719</f>
        <v>165877.04</v>
      </c>
      <c r="P585" s="39" t="n">
        <f aca="false">H585*'Assumptions &amp; Data'!P719</f>
        <v>102165.04181144</v>
      </c>
      <c r="Q585" s="39" t="n">
        <f aca="false">M585-N585-O585-P585</f>
        <v>808275.9751484</v>
      </c>
      <c r="R585" s="39" t="n">
        <f aca="false">'Assumptions &amp; Data'!L719*'Assumptions &amp; Data'!M719</f>
        <v>314832</v>
      </c>
      <c r="S585" s="37" t="n">
        <f aca="false">'Assumptions &amp; Data'!Q719</f>
        <v>504000</v>
      </c>
      <c r="T585" s="37" t="n">
        <f aca="false">'Assumptions &amp; Data'!R719</f>
        <v>177185</v>
      </c>
      <c r="U585" s="37" t="n">
        <f aca="false">'Assumptions &amp; Data'!S719</f>
        <v>239904</v>
      </c>
      <c r="V585" s="39" t="n">
        <f aca="false">Q585-R585-S585-T585-U585</f>
        <v>-427645.0248516</v>
      </c>
      <c r="W585" s="39" t="n">
        <f aca="false">DAY(EOMONTH(C585,0))</f>
        <v>31</v>
      </c>
      <c r="X585" s="40" t="n">
        <f aca="false">E585/W585</f>
        <v>549.935483870968</v>
      </c>
      <c r="Y585" s="39" t="n">
        <f aca="false">R585+S585+T585+U585</f>
        <v>1235921</v>
      </c>
    </row>
    <row r="586" customFormat="false" ht="15" hidden="false" customHeight="false" outlineLevel="0" collapsed="false">
      <c r="A586" s="37" t="str">
        <f aca="false">'Assumptions &amp; Data'!A720</f>
        <v>SM0516</v>
      </c>
      <c r="B586" s="37" t="str">
        <f aca="false">'Assumptions &amp; Data'!B720</f>
        <v>DS043</v>
      </c>
      <c r="C586" s="38" t="n">
        <f aca="false">'Assumptions &amp; Data'!C720</f>
        <v>46266</v>
      </c>
      <c r="D586" s="39" t="str">
        <f aca="false">INDEX('Assumptions &amp; Data'!$B$142:$B$201,MATCH(B586,'Assumptions &amp; Data'!$A$142:$A$201,0))</f>
        <v>Hyderabad</v>
      </c>
      <c r="E586" s="37" t="n">
        <f aca="false">'Assumptions &amp; Data'!D720</f>
        <v>19192</v>
      </c>
      <c r="F586" s="39" t="n">
        <f aca="false">E586*'Assumptions &amp; Data'!E720</f>
        <v>12332779.2</v>
      </c>
      <c r="G586" s="39" t="n">
        <f aca="false">F586*'Assumptions &amp; Data'!F720</f>
        <v>805330.48176</v>
      </c>
      <c r="H586" s="39" t="n">
        <f aca="false">F586-G586</f>
        <v>11527448.71824</v>
      </c>
      <c r="I586" s="39" t="n">
        <f aca="false">H586*'Assumptions &amp; Data'!G720</f>
        <v>1895112.56927866</v>
      </c>
      <c r="J586" s="39" t="n">
        <f aca="false">E586*'Assumptions &amp; Data'!H720</f>
        <v>222051.44</v>
      </c>
      <c r="K586" s="39" t="n">
        <f aca="false">H586*'Assumptions &amp; Data'!I720</f>
        <v>267436.810263168</v>
      </c>
      <c r="L586" s="39" t="n">
        <f aca="false">H586*'Assumptions &amp; Data'!J720</f>
        <v>328532.28846984</v>
      </c>
      <c r="M586" s="39" t="n">
        <f aca="false">I586+J586+K586-L586</f>
        <v>2056068.53107198</v>
      </c>
      <c r="N586" s="39" t="n">
        <f aca="false">E586*'Assumptions &amp; Data'!N720</f>
        <v>798195.28</v>
      </c>
      <c r="O586" s="39" t="n">
        <f aca="false">E586*'Assumptions &amp; Data'!O720</f>
        <v>193263.44</v>
      </c>
      <c r="P586" s="39" t="n">
        <f aca="false">H586*'Assumptions &amp; Data'!P720</f>
        <v>116427.232054224</v>
      </c>
      <c r="Q586" s="39" t="n">
        <f aca="false">M586-N586-O586-P586</f>
        <v>948182.57901776</v>
      </c>
      <c r="R586" s="39" t="n">
        <f aca="false">'Assumptions &amp; Data'!L720*'Assumptions &amp; Data'!M720</f>
        <v>315120</v>
      </c>
      <c r="S586" s="37" t="n">
        <f aca="false">'Assumptions &amp; Data'!Q720</f>
        <v>504000</v>
      </c>
      <c r="T586" s="37" t="n">
        <f aca="false">'Assumptions &amp; Data'!R720</f>
        <v>170787</v>
      </c>
      <c r="U586" s="37" t="n">
        <f aca="false">'Assumptions &amp; Data'!S720</f>
        <v>240160</v>
      </c>
      <c r="V586" s="39" t="n">
        <f aca="false">Q586-R586-S586-T586-U586</f>
        <v>-281884.42098224</v>
      </c>
      <c r="W586" s="39" t="n">
        <f aca="false">DAY(EOMONTH(C586,0))</f>
        <v>30</v>
      </c>
      <c r="X586" s="40" t="n">
        <f aca="false">E586/W586</f>
        <v>639.733333333333</v>
      </c>
      <c r="Y586" s="39" t="n">
        <f aca="false">R586+S586+T586+U586</f>
        <v>1230067</v>
      </c>
    </row>
    <row r="587" customFormat="false" ht="15" hidden="false" customHeight="false" outlineLevel="0" collapsed="false">
      <c r="A587" s="37" t="str">
        <f aca="false">'Assumptions &amp; Data'!A721</f>
        <v>SM0517</v>
      </c>
      <c r="B587" s="37" t="str">
        <f aca="false">'Assumptions &amp; Data'!B721</f>
        <v>DS044</v>
      </c>
      <c r="C587" s="38" t="n">
        <f aca="false">'Assumptions &amp; Data'!C721</f>
        <v>45931</v>
      </c>
      <c r="D587" s="39" t="str">
        <f aca="false">INDEX('Assumptions &amp; Data'!$B$142:$B$201,MATCH(B587,'Assumptions &amp; Data'!$A$142:$A$201,0))</f>
        <v>Hyderabad</v>
      </c>
      <c r="E587" s="37" t="n">
        <f aca="false">'Assumptions &amp; Data'!D721</f>
        <v>3182</v>
      </c>
      <c r="F587" s="39" t="n">
        <f aca="false">E587*'Assumptions &amp; Data'!E721</f>
        <v>1840150.6</v>
      </c>
      <c r="G587" s="39" t="n">
        <f aca="false">F587*'Assumptions &amp; Data'!F721</f>
        <v>157332.8763</v>
      </c>
      <c r="H587" s="39" t="n">
        <f aca="false">F587-G587</f>
        <v>1682817.7237</v>
      </c>
      <c r="I587" s="39" t="n">
        <f aca="false">H587*'Assumptions &amp; Data'!G721</f>
        <v>274467.57073547</v>
      </c>
      <c r="J587" s="39" t="n">
        <f aca="false">E587*'Assumptions &amp; Data'!H721</f>
        <v>40252.3</v>
      </c>
      <c r="K587" s="39" t="n">
        <f aca="false">H587*'Assumptions &amp; Data'!I721</f>
        <v>27766.49244105</v>
      </c>
      <c r="L587" s="39" t="n">
        <f aca="false">H587*'Assumptions &amp; Data'!J721</f>
        <v>60076.59273609</v>
      </c>
      <c r="M587" s="39" t="n">
        <f aca="false">I587+J587+K587-L587</f>
        <v>282409.77044043</v>
      </c>
      <c r="N587" s="39" t="n">
        <f aca="false">E587*'Assumptions &amp; Data'!N721</f>
        <v>144240.06</v>
      </c>
      <c r="O587" s="39" t="n">
        <f aca="false">E587*'Assumptions &amp; Data'!O721</f>
        <v>30865.4</v>
      </c>
      <c r="P587" s="39" t="n">
        <f aca="false">H587*'Assumptions &amp; Data'!P721</f>
        <v>17333.02255411</v>
      </c>
      <c r="Q587" s="39" t="n">
        <f aca="false">M587-N587-O587-P587</f>
        <v>89971.28788632</v>
      </c>
      <c r="R587" s="39" t="n">
        <f aca="false">'Assumptions &amp; Data'!L721*'Assumptions &amp; Data'!M721</f>
        <v>312000</v>
      </c>
      <c r="S587" s="37" t="n">
        <f aca="false">'Assumptions &amp; Data'!Q721</f>
        <v>574000</v>
      </c>
      <c r="T587" s="37" t="n">
        <f aca="false">'Assumptions &amp; Data'!R721</f>
        <v>154072</v>
      </c>
      <c r="U587" s="37" t="n">
        <f aca="false">'Assumptions &amp; Data'!S721</f>
        <v>54527</v>
      </c>
      <c r="V587" s="39" t="n">
        <f aca="false">Q587-R587-S587-T587-U587</f>
        <v>-1004627.71211368</v>
      </c>
      <c r="W587" s="39" t="n">
        <f aca="false">DAY(EOMONTH(C587,0))</f>
        <v>31</v>
      </c>
      <c r="X587" s="40" t="n">
        <f aca="false">E587/W587</f>
        <v>102.645161290323</v>
      </c>
      <c r="Y587" s="39" t="n">
        <f aca="false">R587+S587+T587+U587</f>
        <v>1094599</v>
      </c>
    </row>
    <row r="588" customFormat="false" ht="15" hidden="false" customHeight="false" outlineLevel="0" collapsed="false">
      <c r="A588" s="37" t="str">
        <f aca="false">'Assumptions &amp; Data'!A722</f>
        <v>SM0518</v>
      </c>
      <c r="B588" s="37" t="str">
        <f aca="false">'Assumptions &amp; Data'!B722</f>
        <v>DS044</v>
      </c>
      <c r="C588" s="38" t="n">
        <f aca="false">'Assumptions &amp; Data'!C722</f>
        <v>45962</v>
      </c>
      <c r="D588" s="39" t="str">
        <f aca="false">INDEX('Assumptions &amp; Data'!$B$142:$B$201,MATCH(B588,'Assumptions &amp; Data'!$A$142:$A$201,0))</f>
        <v>Hyderabad</v>
      </c>
      <c r="E588" s="37" t="n">
        <f aca="false">'Assumptions &amp; Data'!D722</f>
        <v>2906</v>
      </c>
      <c r="F588" s="39" t="n">
        <f aca="false">E588*'Assumptions &amp; Data'!E722</f>
        <v>1696232.2</v>
      </c>
      <c r="G588" s="39" t="n">
        <f aca="false">F588*'Assumptions &amp; Data'!F722</f>
        <v>138921.41718</v>
      </c>
      <c r="H588" s="39" t="n">
        <f aca="false">F588-G588</f>
        <v>1557310.78282</v>
      </c>
      <c r="I588" s="39" t="n">
        <f aca="false">H588*'Assumptions &amp; Data'!G722</f>
        <v>253685.926521378</v>
      </c>
      <c r="J588" s="39" t="n">
        <f aca="false">E588*'Assumptions &amp; Data'!H722</f>
        <v>36325</v>
      </c>
      <c r="K588" s="39" t="n">
        <f aca="false">H588*'Assumptions &amp; Data'!I722</f>
        <v>26318.552229658</v>
      </c>
      <c r="L588" s="39" t="n">
        <f aca="false">H588*'Assumptions &amp; Data'!J722</f>
        <v>57309.036807776</v>
      </c>
      <c r="M588" s="39" t="n">
        <f aca="false">I588+J588+K588-L588</f>
        <v>259020.44194326</v>
      </c>
      <c r="N588" s="39" t="n">
        <f aca="false">E588*'Assumptions &amp; Data'!N722</f>
        <v>127602.46</v>
      </c>
      <c r="O588" s="39" t="n">
        <f aca="false">E588*'Assumptions &amp; Data'!O722</f>
        <v>28943.76</v>
      </c>
      <c r="P588" s="39" t="n">
        <f aca="false">H588*'Assumptions &amp; Data'!P722</f>
        <v>15573.1078282</v>
      </c>
      <c r="Q588" s="39" t="n">
        <f aca="false">M588-N588-O588-P588</f>
        <v>86901.11411506</v>
      </c>
      <c r="R588" s="39" t="n">
        <f aca="false">'Assumptions &amp; Data'!L722*'Assumptions &amp; Data'!M722</f>
        <v>312288</v>
      </c>
      <c r="S588" s="37" t="n">
        <f aca="false">'Assumptions &amp; Data'!Q722</f>
        <v>574000</v>
      </c>
      <c r="T588" s="37" t="n">
        <f aca="false">'Assumptions &amp; Data'!R722</f>
        <v>138539</v>
      </c>
      <c r="U588" s="37" t="n">
        <f aca="false">'Assumptions &amp; Data'!S722</f>
        <v>50455</v>
      </c>
      <c r="V588" s="39" t="n">
        <f aca="false">Q588-R588-S588-T588-U588</f>
        <v>-988380.88588494</v>
      </c>
      <c r="W588" s="39" t="n">
        <f aca="false">DAY(EOMONTH(C588,0))</f>
        <v>30</v>
      </c>
      <c r="X588" s="40" t="n">
        <f aca="false">E588/W588</f>
        <v>96.8666666666667</v>
      </c>
      <c r="Y588" s="39" t="n">
        <f aca="false">R588+S588+T588+U588</f>
        <v>1075282</v>
      </c>
    </row>
    <row r="589" customFormat="false" ht="15" hidden="false" customHeight="false" outlineLevel="0" collapsed="false">
      <c r="A589" s="37" t="str">
        <f aca="false">'Assumptions &amp; Data'!A723</f>
        <v>SM0519</v>
      </c>
      <c r="B589" s="37" t="str">
        <f aca="false">'Assumptions &amp; Data'!B723</f>
        <v>DS044</v>
      </c>
      <c r="C589" s="38" t="n">
        <f aca="false">'Assumptions &amp; Data'!C723</f>
        <v>45992</v>
      </c>
      <c r="D589" s="39" t="str">
        <f aca="false">INDEX('Assumptions &amp; Data'!$B$142:$B$201,MATCH(B589,'Assumptions &amp; Data'!$A$142:$A$201,0))</f>
        <v>Hyderabad</v>
      </c>
      <c r="E589" s="37" t="n">
        <f aca="false">'Assumptions &amp; Data'!D723</f>
        <v>2868</v>
      </c>
      <c r="F589" s="39" t="n">
        <f aca="false">E589*'Assumptions &amp; Data'!E723</f>
        <v>1667168.4</v>
      </c>
      <c r="G589" s="39" t="n">
        <f aca="false">F589*'Assumptions &amp; Data'!F723</f>
        <v>139875.42876</v>
      </c>
      <c r="H589" s="39" t="n">
        <f aca="false">F589-G589</f>
        <v>1527292.97124</v>
      </c>
      <c r="I589" s="39" t="n">
        <f aca="false">H589*'Assumptions &amp; Data'!G723</f>
        <v>250476.04728336</v>
      </c>
      <c r="J589" s="39" t="n">
        <f aca="false">E589*'Assumptions &amp; Data'!H723</f>
        <v>37255.32</v>
      </c>
      <c r="K589" s="39" t="n">
        <f aca="false">H589*'Assumptions &amp; Data'!I723</f>
        <v>27033.085590948</v>
      </c>
      <c r="L589" s="39" t="n">
        <f aca="false">H589*'Assumptions &amp; Data'!J723</f>
        <v>56509.83993588</v>
      </c>
      <c r="M589" s="39" t="n">
        <f aca="false">I589+J589+K589-L589</f>
        <v>258254.612938428</v>
      </c>
      <c r="N589" s="39" t="n">
        <f aca="false">E589*'Assumptions &amp; Data'!N723</f>
        <v>126536.16</v>
      </c>
      <c r="O589" s="39" t="n">
        <f aca="false">E589*'Assumptions &amp; Data'!O723</f>
        <v>27446.76</v>
      </c>
      <c r="P589" s="39" t="n">
        <f aca="false">H589*'Assumptions &amp; Data'!P723</f>
        <v>14814.741821028</v>
      </c>
      <c r="Q589" s="39" t="n">
        <f aca="false">M589-N589-O589-P589</f>
        <v>89456.9511174</v>
      </c>
      <c r="R589" s="39" t="n">
        <f aca="false">'Assumptions &amp; Data'!L723*'Assumptions &amp; Data'!M723</f>
        <v>312560</v>
      </c>
      <c r="S589" s="37" t="n">
        <f aca="false">'Assumptions &amp; Data'!Q723</f>
        <v>574000</v>
      </c>
      <c r="T589" s="37" t="n">
        <f aca="false">'Assumptions &amp; Data'!R723</f>
        <v>150522</v>
      </c>
      <c r="U589" s="37" t="n">
        <f aca="false">'Assumptions &amp; Data'!S723</f>
        <v>51589</v>
      </c>
      <c r="V589" s="39" t="n">
        <f aca="false">Q589-R589-S589-T589-U589</f>
        <v>-999214.0488826</v>
      </c>
      <c r="W589" s="39" t="n">
        <f aca="false">DAY(EOMONTH(C589,0))</f>
        <v>31</v>
      </c>
      <c r="X589" s="40" t="n">
        <f aca="false">E589/W589</f>
        <v>92.5161290322581</v>
      </c>
      <c r="Y589" s="39" t="n">
        <f aca="false">R589+S589+T589+U589</f>
        <v>1088671</v>
      </c>
    </row>
    <row r="590" customFormat="false" ht="15" hidden="false" customHeight="false" outlineLevel="0" collapsed="false">
      <c r="A590" s="37" t="str">
        <f aca="false">'Assumptions &amp; Data'!A724</f>
        <v>SM0520</v>
      </c>
      <c r="B590" s="37" t="str">
        <f aca="false">'Assumptions &amp; Data'!B724</f>
        <v>DS044</v>
      </c>
      <c r="C590" s="38" t="n">
        <f aca="false">'Assumptions &amp; Data'!C724</f>
        <v>46023</v>
      </c>
      <c r="D590" s="39" t="str">
        <f aca="false">INDEX('Assumptions &amp; Data'!$B$142:$B$201,MATCH(B590,'Assumptions &amp; Data'!$A$142:$A$201,0))</f>
        <v>Hyderabad</v>
      </c>
      <c r="E590" s="37" t="n">
        <f aca="false">'Assumptions &amp; Data'!D724</f>
        <v>2946</v>
      </c>
      <c r="F590" s="39" t="n">
        <f aca="false">E590*'Assumptions &amp; Data'!E724</f>
        <v>1710742.2</v>
      </c>
      <c r="G590" s="39" t="n">
        <f aca="false">F590*'Assumptions &amp; Data'!F724</f>
        <v>140965.15728</v>
      </c>
      <c r="H590" s="39" t="n">
        <f aca="false">F590-G590</f>
        <v>1569777.04272</v>
      </c>
      <c r="I590" s="39" t="n">
        <f aca="false">H590*'Assumptions &amp; Data'!G724</f>
        <v>261367.87761288</v>
      </c>
      <c r="J590" s="39" t="n">
        <f aca="false">E590*'Assumptions &amp; Data'!H724</f>
        <v>34527.12</v>
      </c>
      <c r="K590" s="39" t="n">
        <f aca="false">H590*'Assumptions &amp; Data'!I724</f>
        <v>27000.165134784</v>
      </c>
      <c r="L590" s="39" t="n">
        <f aca="false">H590*'Assumptions &amp; Data'!J724</f>
        <v>56198.018129376</v>
      </c>
      <c r="M590" s="39" t="n">
        <f aca="false">I590+J590+K590-L590</f>
        <v>266697.144618288</v>
      </c>
      <c r="N590" s="39" t="n">
        <f aca="false">E590*'Assumptions &amp; Data'!N724</f>
        <v>131214.84</v>
      </c>
      <c r="O590" s="39" t="n">
        <f aca="false">E590*'Assumptions &amp; Data'!O724</f>
        <v>28458.36</v>
      </c>
      <c r="P590" s="39" t="n">
        <f aca="false">H590*'Assumptions &amp; Data'!P724</f>
        <v>15854.748131472</v>
      </c>
      <c r="Q590" s="39" t="n">
        <f aca="false">M590-N590-O590-P590</f>
        <v>91169.1964868161</v>
      </c>
      <c r="R590" s="39" t="n">
        <f aca="false">'Assumptions &amp; Data'!L724*'Assumptions &amp; Data'!M724</f>
        <v>312848</v>
      </c>
      <c r="S590" s="37" t="n">
        <f aca="false">'Assumptions &amp; Data'!Q724</f>
        <v>574000</v>
      </c>
      <c r="T590" s="37" t="n">
        <f aca="false">'Assumptions &amp; Data'!R724</f>
        <v>147649</v>
      </c>
      <c r="U590" s="37" t="n">
        <f aca="false">'Assumptions &amp; Data'!S724</f>
        <v>53721</v>
      </c>
      <c r="V590" s="39" t="n">
        <f aca="false">Q590-R590-S590-T590-U590</f>
        <v>-997048.803513184</v>
      </c>
      <c r="W590" s="39" t="n">
        <f aca="false">DAY(EOMONTH(C590,0))</f>
        <v>31</v>
      </c>
      <c r="X590" s="40" t="n">
        <f aca="false">E590/W590</f>
        <v>95.0322580645161</v>
      </c>
      <c r="Y590" s="39" t="n">
        <f aca="false">R590+S590+T590+U590</f>
        <v>1088218</v>
      </c>
    </row>
    <row r="591" customFormat="false" ht="15" hidden="false" customHeight="false" outlineLevel="0" collapsed="false">
      <c r="A591" s="37" t="str">
        <f aca="false">'Assumptions &amp; Data'!A725</f>
        <v>SM0521</v>
      </c>
      <c r="B591" s="37" t="str">
        <f aca="false">'Assumptions &amp; Data'!B725</f>
        <v>DS044</v>
      </c>
      <c r="C591" s="38" t="n">
        <f aca="false">'Assumptions &amp; Data'!C725</f>
        <v>46054</v>
      </c>
      <c r="D591" s="39" t="str">
        <f aca="false">INDEX('Assumptions &amp; Data'!$B$142:$B$201,MATCH(B591,'Assumptions &amp; Data'!$A$142:$A$201,0))</f>
        <v>Hyderabad</v>
      </c>
      <c r="E591" s="37" t="n">
        <f aca="false">'Assumptions &amp; Data'!D725</f>
        <v>4975</v>
      </c>
      <c r="F591" s="39" t="n">
        <f aca="false">E591*'Assumptions &amp; Data'!E725</f>
        <v>2880027.5</v>
      </c>
      <c r="G591" s="39" t="n">
        <f aca="false">F591*'Assumptions &amp; Data'!F725</f>
        <v>213698.0405</v>
      </c>
      <c r="H591" s="39" t="n">
        <f aca="false">F591-G591</f>
        <v>2666329.4595</v>
      </c>
      <c r="I591" s="39" t="n">
        <f aca="false">H591*'Assumptions &amp; Data'!G725</f>
        <v>429012.41003355</v>
      </c>
      <c r="J591" s="39" t="n">
        <f aca="false">E591*'Assumptions &amp; Data'!H725</f>
        <v>60595.5</v>
      </c>
      <c r="K591" s="39" t="n">
        <f aca="false">H591*'Assumptions &amp; Data'!I725</f>
        <v>47194.03143315</v>
      </c>
      <c r="L591" s="39" t="n">
        <f aca="false">H591*'Assumptions &amp; Data'!J725</f>
        <v>94121.42992035</v>
      </c>
      <c r="M591" s="39" t="n">
        <f aca="false">I591+J591+K591-L591</f>
        <v>442680.51154635</v>
      </c>
      <c r="N591" s="39" t="n">
        <f aca="false">E591*'Assumptions &amp; Data'!N725</f>
        <v>216711</v>
      </c>
      <c r="O591" s="39" t="n">
        <f aca="false">E591*'Assumptions &amp; Data'!O725</f>
        <v>49202.75</v>
      </c>
      <c r="P591" s="39" t="n">
        <f aca="false">H591*'Assumptions &amp; Data'!P725</f>
        <v>26396.66164905</v>
      </c>
      <c r="Q591" s="39" t="n">
        <f aca="false">M591-N591-O591-P591</f>
        <v>150370.0998973</v>
      </c>
      <c r="R591" s="39" t="n">
        <f aca="false">'Assumptions &amp; Data'!L725*'Assumptions &amp; Data'!M725</f>
        <v>313136</v>
      </c>
      <c r="S591" s="37" t="n">
        <f aca="false">'Assumptions &amp; Data'!Q725</f>
        <v>574000</v>
      </c>
      <c r="T591" s="37" t="n">
        <f aca="false">'Assumptions &amp; Data'!R725</f>
        <v>143805</v>
      </c>
      <c r="U591" s="37" t="n">
        <f aca="false">'Assumptions &amp; Data'!S725</f>
        <v>82729</v>
      </c>
      <c r="V591" s="39" t="n">
        <f aca="false">Q591-R591-S591-T591-U591</f>
        <v>-963299.9001027</v>
      </c>
      <c r="W591" s="39" t="n">
        <f aca="false">DAY(EOMONTH(C591,0))</f>
        <v>28</v>
      </c>
      <c r="X591" s="40" t="n">
        <f aca="false">E591/W591</f>
        <v>177.678571428571</v>
      </c>
      <c r="Y591" s="39" t="n">
        <f aca="false">R591+S591+T591+U591</f>
        <v>1113670</v>
      </c>
    </row>
    <row r="592" customFormat="false" ht="15" hidden="false" customHeight="false" outlineLevel="0" collapsed="false">
      <c r="A592" s="37" t="str">
        <f aca="false">'Assumptions &amp; Data'!A726</f>
        <v>SM0522</v>
      </c>
      <c r="B592" s="37" t="str">
        <f aca="false">'Assumptions &amp; Data'!B726</f>
        <v>DS044</v>
      </c>
      <c r="C592" s="38" t="n">
        <f aca="false">'Assumptions &amp; Data'!C726</f>
        <v>46082</v>
      </c>
      <c r="D592" s="39" t="str">
        <f aca="false">INDEX('Assumptions &amp; Data'!$B$142:$B$201,MATCH(B592,'Assumptions &amp; Data'!$A$142:$A$201,0))</f>
        <v>Hyderabad</v>
      </c>
      <c r="E592" s="37" t="n">
        <f aca="false">'Assumptions &amp; Data'!D726</f>
        <v>7416</v>
      </c>
      <c r="F592" s="39" t="n">
        <f aca="false">E592*'Assumptions &amp; Data'!E726</f>
        <v>4288672.8</v>
      </c>
      <c r="G592" s="39" t="n">
        <f aca="false">F592*'Assumptions &amp; Data'!F726</f>
        <v>334945.34568</v>
      </c>
      <c r="H592" s="39" t="n">
        <f aca="false">F592-G592</f>
        <v>3953727.45432</v>
      </c>
      <c r="I592" s="39" t="n">
        <f aca="false">H592*'Assumptions &amp; Data'!G726</f>
        <v>656714.130162552</v>
      </c>
      <c r="J592" s="39" t="n">
        <f aca="false">E592*'Assumptions &amp; Data'!H726</f>
        <v>89214.48</v>
      </c>
      <c r="K592" s="39" t="n">
        <f aca="false">H592*'Assumptions &amp; Data'!I726</f>
        <v>76702.312613808</v>
      </c>
      <c r="L592" s="39" t="n">
        <f aca="false">H592*'Assumptions &amp; Data'!J726</f>
        <v>138775.833646632</v>
      </c>
      <c r="M592" s="39" t="n">
        <f aca="false">I592+J592+K592-L592</f>
        <v>683855.089129728</v>
      </c>
      <c r="N592" s="39" t="n">
        <f aca="false">E592*'Assumptions &amp; Data'!N726</f>
        <v>315624.96</v>
      </c>
      <c r="O592" s="39" t="n">
        <f aca="false">E592*'Assumptions &amp; Data'!O726</f>
        <v>73640.88</v>
      </c>
      <c r="P592" s="39" t="n">
        <f aca="false">H592*'Assumptions &amp; Data'!P726</f>
        <v>40723.392779496</v>
      </c>
      <c r="Q592" s="39" t="n">
        <f aca="false">M592-N592-O592-P592</f>
        <v>253865.856350232</v>
      </c>
      <c r="R592" s="39" t="n">
        <f aca="false">'Assumptions &amp; Data'!L726*'Assumptions &amp; Data'!M726</f>
        <v>313424</v>
      </c>
      <c r="S592" s="37" t="n">
        <f aca="false">'Assumptions &amp; Data'!Q726</f>
        <v>574000</v>
      </c>
      <c r="T592" s="37" t="n">
        <f aca="false">'Assumptions &amp; Data'!R726</f>
        <v>151740</v>
      </c>
      <c r="U592" s="37" t="n">
        <f aca="false">'Assumptions &amp; Data'!S726</f>
        <v>109976</v>
      </c>
      <c r="V592" s="39" t="n">
        <f aca="false">Q592-R592-S592-T592-U592</f>
        <v>-895274.143649768</v>
      </c>
      <c r="W592" s="39" t="n">
        <f aca="false">DAY(EOMONTH(C592,0))</f>
        <v>31</v>
      </c>
      <c r="X592" s="40" t="n">
        <f aca="false">E592/W592</f>
        <v>239.225806451613</v>
      </c>
      <c r="Y592" s="39" t="n">
        <f aca="false">R592+S592+T592+U592</f>
        <v>1149140</v>
      </c>
    </row>
    <row r="593" customFormat="false" ht="15" hidden="false" customHeight="false" outlineLevel="0" collapsed="false">
      <c r="A593" s="37" t="str">
        <f aca="false">'Assumptions &amp; Data'!A727</f>
        <v>SM0523</v>
      </c>
      <c r="B593" s="37" t="str">
        <f aca="false">'Assumptions &amp; Data'!B727</f>
        <v>DS044</v>
      </c>
      <c r="C593" s="38" t="n">
        <f aca="false">'Assumptions &amp; Data'!C727</f>
        <v>46113</v>
      </c>
      <c r="D593" s="39" t="str">
        <f aca="false">INDEX('Assumptions &amp; Data'!$B$142:$B$201,MATCH(B593,'Assumptions &amp; Data'!$A$142:$A$201,0))</f>
        <v>Hyderabad</v>
      </c>
      <c r="E593" s="37" t="n">
        <f aca="false">'Assumptions &amp; Data'!D727</f>
        <v>9389</v>
      </c>
      <c r="F593" s="39" t="n">
        <f aca="false">E593*'Assumptions &amp; Data'!E727</f>
        <v>5361119</v>
      </c>
      <c r="G593" s="39" t="n">
        <f aca="false">F593*'Assumptions &amp; Data'!F727</f>
        <v>380639.449</v>
      </c>
      <c r="H593" s="39" t="n">
        <f aca="false">F593-G593</f>
        <v>4980479.551</v>
      </c>
      <c r="I593" s="39" t="n">
        <f aca="false">H593*'Assumptions &amp; Data'!G727</f>
        <v>819786.9340946</v>
      </c>
      <c r="J593" s="39" t="n">
        <f aca="false">E593*'Assumptions &amp; Data'!H727</f>
        <v>114733.58</v>
      </c>
      <c r="K593" s="39" t="n">
        <f aca="false">H593*'Assumptions &amp; Data'!I727</f>
        <v>97119.3512445</v>
      </c>
      <c r="L593" s="39" t="n">
        <f aca="false">H593*'Assumptions &amp; Data'!J727</f>
        <v>165351.9210932</v>
      </c>
      <c r="M593" s="39" t="n">
        <f aca="false">I593+J593+K593-L593</f>
        <v>866287.9442459</v>
      </c>
      <c r="N593" s="39" t="n">
        <f aca="false">E593*'Assumptions &amp; Data'!N727</f>
        <v>398093.6</v>
      </c>
      <c r="O593" s="39" t="n">
        <f aca="false">E593*'Assumptions &amp; Data'!O727</f>
        <v>93044.99</v>
      </c>
      <c r="P593" s="39" t="n">
        <f aca="false">H593*'Assumptions &amp; Data'!P727</f>
        <v>48808.6995998</v>
      </c>
      <c r="Q593" s="39" t="n">
        <f aca="false">M593-N593-O593-P593</f>
        <v>326340.6546461</v>
      </c>
      <c r="R593" s="39" t="n">
        <f aca="false">'Assumptions &amp; Data'!L727*'Assumptions &amp; Data'!M727</f>
        <v>313696</v>
      </c>
      <c r="S593" s="37" t="n">
        <f aca="false">'Assumptions &amp; Data'!Q727</f>
        <v>574000</v>
      </c>
      <c r="T593" s="37" t="n">
        <f aca="false">'Assumptions &amp; Data'!R727</f>
        <v>143107</v>
      </c>
      <c r="U593" s="37" t="n">
        <f aca="false">'Assumptions &amp; Data'!S727</f>
        <v>125580</v>
      </c>
      <c r="V593" s="39" t="n">
        <f aca="false">Q593-R593-S593-T593-U593</f>
        <v>-830042.3453539</v>
      </c>
      <c r="W593" s="39" t="n">
        <f aca="false">DAY(EOMONTH(C593,0))</f>
        <v>30</v>
      </c>
      <c r="X593" s="40" t="n">
        <f aca="false">E593/W593</f>
        <v>312.966666666667</v>
      </c>
      <c r="Y593" s="39" t="n">
        <f aca="false">R593+S593+T593+U593</f>
        <v>1156383</v>
      </c>
    </row>
    <row r="594" customFormat="false" ht="15" hidden="false" customHeight="false" outlineLevel="0" collapsed="false">
      <c r="A594" s="37" t="str">
        <f aca="false">'Assumptions &amp; Data'!A728</f>
        <v>SM0524</v>
      </c>
      <c r="B594" s="37" t="str">
        <f aca="false">'Assumptions &amp; Data'!B728</f>
        <v>DS044</v>
      </c>
      <c r="C594" s="38" t="n">
        <f aca="false">'Assumptions &amp; Data'!C728</f>
        <v>46143</v>
      </c>
      <c r="D594" s="39" t="str">
        <f aca="false">INDEX('Assumptions &amp; Data'!$B$142:$B$201,MATCH(B594,'Assumptions &amp; Data'!$A$142:$A$201,0))</f>
        <v>Hyderabad</v>
      </c>
      <c r="E594" s="37" t="n">
        <f aca="false">'Assumptions &amp; Data'!D728</f>
        <v>13240</v>
      </c>
      <c r="F594" s="39" t="n">
        <f aca="false">E594*'Assumptions &amp; Data'!E728</f>
        <v>7814248</v>
      </c>
      <c r="G594" s="39" t="n">
        <f aca="false">F594*'Assumptions &amp; Data'!F728</f>
        <v>540745.9616</v>
      </c>
      <c r="H594" s="39" t="n">
        <f aca="false">F594-G594</f>
        <v>7273502.0384</v>
      </c>
      <c r="I594" s="39" t="n">
        <f aca="false">H594*'Assumptions &amp; Data'!G728</f>
        <v>1187035.53266688</v>
      </c>
      <c r="J594" s="39" t="n">
        <f aca="false">E594*'Assumptions &amp; Data'!H728</f>
        <v>164043.6</v>
      </c>
      <c r="K594" s="39" t="n">
        <f aca="false">H594*'Assumptions &amp; Data'!I728</f>
        <v>150561.49219488</v>
      </c>
      <c r="L594" s="39" t="n">
        <f aca="false">H594*'Assumptions &amp; Data'!J728</f>
        <v>216023.01054048</v>
      </c>
      <c r="M594" s="39" t="n">
        <f aca="false">I594+J594+K594-L594</f>
        <v>1285617.61432128</v>
      </c>
      <c r="N594" s="39" t="n">
        <f aca="false">E594*'Assumptions &amp; Data'!N728</f>
        <v>550386.8</v>
      </c>
      <c r="O594" s="39" t="n">
        <f aca="false">E594*'Assumptions &amp; Data'!O728</f>
        <v>128825.2</v>
      </c>
      <c r="P594" s="39" t="n">
        <f aca="false">H594*'Assumptions &amp; Data'!P728</f>
        <v>76371.7714032</v>
      </c>
      <c r="Q594" s="39" t="n">
        <f aca="false">M594-N594-O594-P594</f>
        <v>530033.84291808</v>
      </c>
      <c r="R594" s="39" t="n">
        <f aca="false">'Assumptions &amp; Data'!L728*'Assumptions &amp; Data'!M728</f>
        <v>313984</v>
      </c>
      <c r="S594" s="37" t="n">
        <f aca="false">'Assumptions &amp; Data'!Q728</f>
        <v>574000</v>
      </c>
      <c r="T594" s="37" t="n">
        <f aca="false">'Assumptions &amp; Data'!R728</f>
        <v>148341</v>
      </c>
      <c r="U594" s="37" t="n">
        <f aca="false">'Assumptions &amp; Data'!S728</f>
        <v>169070</v>
      </c>
      <c r="V594" s="39" t="n">
        <f aca="false">Q594-R594-S594-T594-U594</f>
        <v>-675361.15708192</v>
      </c>
      <c r="W594" s="39" t="n">
        <f aca="false">DAY(EOMONTH(C594,0))</f>
        <v>31</v>
      </c>
      <c r="X594" s="40" t="n">
        <f aca="false">E594/W594</f>
        <v>427.096774193548</v>
      </c>
      <c r="Y594" s="39" t="n">
        <f aca="false">R594+S594+T594+U594</f>
        <v>1205395</v>
      </c>
    </row>
    <row r="595" customFormat="false" ht="15" hidden="false" customHeight="false" outlineLevel="0" collapsed="false">
      <c r="A595" s="37" t="str">
        <f aca="false">'Assumptions &amp; Data'!A729</f>
        <v>SM0525</v>
      </c>
      <c r="B595" s="37" t="str">
        <f aca="false">'Assumptions &amp; Data'!B729</f>
        <v>DS044</v>
      </c>
      <c r="C595" s="38" t="n">
        <f aca="false">'Assumptions &amp; Data'!C729</f>
        <v>46174</v>
      </c>
      <c r="D595" s="39" t="str">
        <f aca="false">INDEX('Assumptions &amp; Data'!$B$142:$B$201,MATCH(B595,'Assumptions &amp; Data'!$A$142:$A$201,0))</f>
        <v>Hyderabad</v>
      </c>
      <c r="E595" s="37" t="n">
        <f aca="false">'Assumptions &amp; Data'!D729</f>
        <v>14215</v>
      </c>
      <c r="F595" s="39" t="n">
        <f aca="false">E595*'Assumptions &amp; Data'!E729</f>
        <v>8281659</v>
      </c>
      <c r="G595" s="39" t="n">
        <f aca="false">F595*'Assumptions &amp; Data'!F729</f>
        <v>545761.3281</v>
      </c>
      <c r="H595" s="39" t="n">
        <f aca="false">F595-G595</f>
        <v>7735897.6719</v>
      </c>
      <c r="I595" s="39" t="n">
        <f aca="false">H595*'Assumptions &amp; Data'!G729</f>
        <v>1258630.55121813</v>
      </c>
      <c r="J595" s="39" t="n">
        <f aca="false">E595*'Assumptions &amp; Data'!H729</f>
        <v>172143.65</v>
      </c>
      <c r="K595" s="39" t="n">
        <f aca="false">H595*'Assumptions &amp; Data'!I729</f>
        <v>189529.49296155</v>
      </c>
      <c r="L595" s="39" t="n">
        <f aca="false">H595*'Assumptions &amp; Data'!J729</f>
        <v>235171.28922576</v>
      </c>
      <c r="M595" s="39" t="n">
        <f aca="false">I595+J595+K595-L595</f>
        <v>1385132.40495392</v>
      </c>
      <c r="N595" s="39" t="n">
        <f aca="false">E595*'Assumptions &amp; Data'!N729</f>
        <v>590491.1</v>
      </c>
      <c r="O595" s="39" t="n">
        <f aca="false">E595*'Assumptions &amp; Data'!O729</f>
        <v>136606.15</v>
      </c>
      <c r="P595" s="39" t="n">
        <f aca="false">H595*'Assumptions &amp; Data'!P729</f>
        <v>81226.92555495</v>
      </c>
      <c r="Q595" s="39" t="n">
        <f aca="false">M595-N595-O595-P595</f>
        <v>576808.22939897</v>
      </c>
      <c r="R595" s="39" t="n">
        <f aca="false">'Assumptions &amp; Data'!L729*'Assumptions &amp; Data'!M729</f>
        <v>314272</v>
      </c>
      <c r="S595" s="37" t="n">
        <f aca="false">'Assumptions &amp; Data'!Q729</f>
        <v>574000</v>
      </c>
      <c r="T595" s="37" t="n">
        <f aca="false">'Assumptions &amp; Data'!R729</f>
        <v>142166</v>
      </c>
      <c r="U595" s="37" t="n">
        <f aca="false">'Assumptions &amp; Data'!S729</f>
        <v>159998</v>
      </c>
      <c r="V595" s="39" t="n">
        <f aca="false">Q595-R595-S595-T595-U595</f>
        <v>-613627.77060103</v>
      </c>
      <c r="W595" s="39" t="n">
        <f aca="false">DAY(EOMONTH(C595,0))</f>
        <v>30</v>
      </c>
      <c r="X595" s="40" t="n">
        <f aca="false">E595/W595</f>
        <v>473.833333333333</v>
      </c>
      <c r="Y595" s="39" t="n">
        <f aca="false">R595+S595+T595+U595</f>
        <v>1190436</v>
      </c>
    </row>
    <row r="596" customFormat="false" ht="15" hidden="false" customHeight="false" outlineLevel="0" collapsed="false">
      <c r="A596" s="37" t="str">
        <f aca="false">'Assumptions &amp; Data'!A730</f>
        <v>SM0526</v>
      </c>
      <c r="B596" s="37" t="str">
        <f aca="false">'Assumptions &amp; Data'!B730</f>
        <v>DS044</v>
      </c>
      <c r="C596" s="38" t="n">
        <f aca="false">'Assumptions &amp; Data'!C730</f>
        <v>46204</v>
      </c>
      <c r="D596" s="39" t="str">
        <f aca="false">INDEX('Assumptions &amp; Data'!$B$142:$B$201,MATCH(B596,'Assumptions &amp; Data'!$A$142:$A$201,0))</f>
        <v>Hyderabad</v>
      </c>
      <c r="E596" s="37" t="n">
        <f aca="false">'Assumptions &amp; Data'!D730</f>
        <v>14624</v>
      </c>
      <c r="F596" s="39" t="n">
        <f aca="false">E596*'Assumptions &amp; Data'!E730</f>
        <v>8622310.4</v>
      </c>
      <c r="G596" s="39" t="n">
        <f aca="false">F596*'Assumptions &amp; Data'!F730</f>
        <v>511303.00672</v>
      </c>
      <c r="H596" s="39" t="n">
        <f aca="false">F596-G596</f>
        <v>8111007.39328</v>
      </c>
      <c r="I596" s="39" t="n">
        <f aca="false">H596*'Assumptions &amp; Data'!G730</f>
        <v>1315605.39919002</v>
      </c>
      <c r="J596" s="39" t="n">
        <f aca="false">E596*'Assumptions &amp; Data'!H730</f>
        <v>167006.08</v>
      </c>
      <c r="K596" s="39" t="n">
        <f aca="false">H596*'Assumptions &amp; Data'!I730</f>
        <v>176819.961173504</v>
      </c>
      <c r="L596" s="39" t="n">
        <f aca="false">H596*'Assumptions &amp; Data'!J730</f>
        <v>242519.121059072</v>
      </c>
      <c r="M596" s="39" t="n">
        <f aca="false">I596+J596+K596-L596</f>
        <v>1416912.31930445</v>
      </c>
      <c r="N596" s="39" t="n">
        <f aca="false">E596*'Assumptions &amp; Data'!N730</f>
        <v>605287.36</v>
      </c>
      <c r="O596" s="39" t="n">
        <f aca="false">E596*'Assumptions &amp; Data'!O730</f>
        <v>150188.48</v>
      </c>
      <c r="P596" s="39" t="n">
        <f aca="false">H596*'Assumptions &amp; Data'!P730</f>
        <v>81921.174672128</v>
      </c>
      <c r="Q596" s="39" t="n">
        <f aca="false">M596-N596-O596-P596</f>
        <v>579515.30463232</v>
      </c>
      <c r="R596" s="39" t="n">
        <f aca="false">'Assumptions &amp; Data'!L730*'Assumptions &amp; Data'!M730</f>
        <v>314560</v>
      </c>
      <c r="S596" s="37" t="n">
        <f aca="false">'Assumptions &amp; Data'!Q730</f>
        <v>574000</v>
      </c>
      <c r="T596" s="37" t="n">
        <f aca="false">'Assumptions &amp; Data'!R730</f>
        <v>161089</v>
      </c>
      <c r="U596" s="37" t="n">
        <f aca="false">'Assumptions &amp; Data'!S730</f>
        <v>162540</v>
      </c>
      <c r="V596" s="39" t="n">
        <f aca="false">Q596-R596-S596-T596-U596</f>
        <v>-632673.69536768</v>
      </c>
      <c r="W596" s="39" t="n">
        <f aca="false">DAY(EOMONTH(C596,0))</f>
        <v>31</v>
      </c>
      <c r="X596" s="40" t="n">
        <f aca="false">E596/W596</f>
        <v>471.741935483871</v>
      </c>
      <c r="Y596" s="39" t="n">
        <f aca="false">R596+S596+T596+U596</f>
        <v>1212189</v>
      </c>
    </row>
    <row r="597" customFormat="false" ht="15" hidden="false" customHeight="false" outlineLevel="0" collapsed="false">
      <c r="A597" s="37" t="str">
        <f aca="false">'Assumptions &amp; Data'!A731</f>
        <v>SM0527</v>
      </c>
      <c r="B597" s="37" t="str">
        <f aca="false">'Assumptions &amp; Data'!B731</f>
        <v>DS044</v>
      </c>
      <c r="C597" s="38" t="n">
        <f aca="false">'Assumptions &amp; Data'!C731</f>
        <v>46235</v>
      </c>
      <c r="D597" s="39" t="str">
        <f aca="false">INDEX('Assumptions &amp; Data'!$B$142:$B$201,MATCH(B597,'Assumptions &amp; Data'!$A$142:$A$201,0))</f>
        <v>Hyderabad</v>
      </c>
      <c r="E597" s="37" t="n">
        <f aca="false">'Assumptions &amp; Data'!D731</f>
        <v>16777</v>
      </c>
      <c r="F597" s="39" t="n">
        <f aca="false">E597*'Assumptions &amp; Data'!E731</f>
        <v>9975604.2</v>
      </c>
      <c r="G597" s="39" t="n">
        <f aca="false">F597*'Assumptions &amp; Data'!F731</f>
        <v>624472.82292</v>
      </c>
      <c r="H597" s="39" t="n">
        <f aca="false">F597-G597</f>
        <v>9351131.37708</v>
      </c>
      <c r="I597" s="39" t="n">
        <f aca="false">H597*'Assumptions &amp; Data'!G731</f>
        <v>1495245.90719509</v>
      </c>
      <c r="J597" s="39" t="n">
        <f aca="false">E597*'Assumptions &amp; Data'!H731</f>
        <v>198136.37</v>
      </c>
      <c r="K597" s="39" t="n">
        <f aca="false">H597*'Assumptions &amp; Data'!I731</f>
        <v>205724.89029576</v>
      </c>
      <c r="L597" s="39" t="n">
        <f aca="false">H597*'Assumptions &amp; Data'!J731</f>
        <v>259961.452282824</v>
      </c>
      <c r="M597" s="39" t="n">
        <f aca="false">I597+J597+K597-L597</f>
        <v>1639145.71520803</v>
      </c>
      <c r="N597" s="39" t="n">
        <f aca="false">E597*'Assumptions &amp; Data'!N731</f>
        <v>666046.9</v>
      </c>
      <c r="O597" s="39" t="n">
        <f aca="false">E597*'Assumptions &amp; Data'!O731</f>
        <v>167602.23</v>
      </c>
      <c r="P597" s="39" t="n">
        <f aca="false">H597*'Assumptions &amp; Data'!P731</f>
        <v>89770.861219968</v>
      </c>
      <c r="Q597" s="39" t="n">
        <f aca="false">M597-N597-O597-P597</f>
        <v>715725.72398806</v>
      </c>
      <c r="R597" s="39" t="n">
        <f aca="false">'Assumptions &amp; Data'!L731*'Assumptions &amp; Data'!M731</f>
        <v>314832</v>
      </c>
      <c r="S597" s="37" t="n">
        <f aca="false">'Assumptions &amp; Data'!Q731</f>
        <v>574000</v>
      </c>
      <c r="T597" s="37" t="n">
        <f aca="false">'Assumptions &amp; Data'!R731</f>
        <v>140691</v>
      </c>
      <c r="U597" s="37" t="n">
        <f aca="false">'Assumptions &amp; Data'!S731</f>
        <v>175619</v>
      </c>
      <c r="V597" s="39" t="n">
        <f aca="false">Q597-R597-S597-T597-U597</f>
        <v>-489416.27601194</v>
      </c>
      <c r="W597" s="39" t="n">
        <f aca="false">DAY(EOMONTH(C597,0))</f>
        <v>31</v>
      </c>
      <c r="X597" s="40" t="n">
        <f aca="false">E597/W597</f>
        <v>541.193548387097</v>
      </c>
      <c r="Y597" s="39" t="n">
        <f aca="false">R597+S597+T597+U597</f>
        <v>1205142</v>
      </c>
    </row>
    <row r="598" customFormat="false" ht="15" hidden="false" customHeight="false" outlineLevel="0" collapsed="false">
      <c r="A598" s="37" t="str">
        <f aca="false">'Assumptions &amp; Data'!A732</f>
        <v>SM0528</v>
      </c>
      <c r="B598" s="37" t="str">
        <f aca="false">'Assumptions &amp; Data'!B732</f>
        <v>DS044</v>
      </c>
      <c r="C598" s="38" t="n">
        <f aca="false">'Assumptions &amp; Data'!C732</f>
        <v>46266</v>
      </c>
      <c r="D598" s="39" t="str">
        <f aca="false">INDEX('Assumptions &amp; Data'!$B$142:$B$201,MATCH(B598,'Assumptions &amp; Data'!$A$142:$A$201,0))</f>
        <v>Hyderabad</v>
      </c>
      <c r="E598" s="37" t="n">
        <f aca="false">'Assumptions &amp; Data'!D732</f>
        <v>19589</v>
      </c>
      <c r="F598" s="39" t="n">
        <f aca="false">E598*'Assumptions &amp; Data'!E732</f>
        <v>11373373.4</v>
      </c>
      <c r="G598" s="39" t="n">
        <f aca="false">F598*'Assumptions &amp; Data'!F732</f>
        <v>689226.42804</v>
      </c>
      <c r="H598" s="39" t="n">
        <f aca="false">F598-G598</f>
        <v>10684146.97196</v>
      </c>
      <c r="I598" s="39" t="n">
        <f aca="false">H598*'Assumptions &amp; Data'!G732</f>
        <v>1745789.61521826</v>
      </c>
      <c r="J598" s="39" t="n">
        <f aca="false">E598*'Assumptions &amp; Data'!H732</f>
        <v>232129.65</v>
      </c>
      <c r="K598" s="39" t="n">
        <f aca="false">H598*'Assumptions &amp; Data'!I732</f>
        <v>260693.186115824</v>
      </c>
      <c r="L598" s="39" t="n">
        <f aca="false">H598*'Assumptions &amp; Data'!J732</f>
        <v>290608.797637312</v>
      </c>
      <c r="M598" s="39" t="n">
        <f aca="false">I598+J598+K598-L598</f>
        <v>1948003.65369678</v>
      </c>
      <c r="N598" s="39" t="n">
        <f aca="false">E598*'Assumptions &amp; Data'!N732</f>
        <v>769064.14</v>
      </c>
      <c r="O598" s="39" t="n">
        <f aca="false">E598*'Assumptions &amp; Data'!O732</f>
        <v>193931.1</v>
      </c>
      <c r="P598" s="39" t="n">
        <f aca="false">H598*'Assumptions &amp; Data'!P732</f>
        <v>96157.32274764</v>
      </c>
      <c r="Q598" s="39" t="n">
        <f aca="false">M598-N598-O598-P598</f>
        <v>888851.090949136</v>
      </c>
      <c r="R598" s="39" t="n">
        <f aca="false">'Assumptions &amp; Data'!L732*'Assumptions &amp; Data'!M732</f>
        <v>354510</v>
      </c>
      <c r="S598" s="37" t="n">
        <f aca="false">'Assumptions &amp; Data'!Q732</f>
        <v>574000</v>
      </c>
      <c r="T598" s="37" t="n">
        <f aca="false">'Assumptions &amp; Data'!R732</f>
        <v>149643</v>
      </c>
      <c r="U598" s="37" t="n">
        <f aca="false">'Assumptions &amp; Data'!S732</f>
        <v>168456</v>
      </c>
      <c r="V598" s="39" t="n">
        <f aca="false">Q598-R598-S598-T598-U598</f>
        <v>-357757.909050864</v>
      </c>
      <c r="W598" s="39" t="n">
        <f aca="false">DAY(EOMONTH(C598,0))</f>
        <v>30</v>
      </c>
      <c r="X598" s="40" t="n">
        <f aca="false">E598/W598</f>
        <v>652.966666666667</v>
      </c>
      <c r="Y598" s="39" t="n">
        <f aca="false">R598+S598+T598+U598</f>
        <v>1246609</v>
      </c>
    </row>
    <row r="599" customFormat="false" ht="15" hidden="false" customHeight="false" outlineLevel="0" collapsed="false">
      <c r="A599" s="37" t="str">
        <f aca="false">'Assumptions &amp; Data'!A733</f>
        <v>SM0529</v>
      </c>
      <c r="B599" s="37" t="str">
        <f aca="false">'Assumptions &amp; Data'!B733</f>
        <v>DS045</v>
      </c>
      <c r="C599" s="38" t="n">
        <f aca="false">'Assumptions &amp; Data'!C733</f>
        <v>45931</v>
      </c>
      <c r="D599" s="39" t="str">
        <f aca="false">INDEX('Assumptions &amp; Data'!$B$142:$B$201,MATCH(B599,'Assumptions &amp; Data'!$A$142:$A$201,0))</f>
        <v>Hyderabad</v>
      </c>
      <c r="E599" s="37" t="n">
        <f aca="false">'Assumptions &amp; Data'!D733</f>
        <v>12184</v>
      </c>
      <c r="F599" s="39" t="n">
        <f aca="false">E599*'Assumptions &amp; Data'!E733</f>
        <v>7622310.4</v>
      </c>
      <c r="G599" s="39" t="n">
        <f aca="false">F599*'Assumptions &amp; Data'!F733</f>
        <v>459625.31712</v>
      </c>
      <c r="H599" s="39" t="n">
        <f aca="false">F599-G599</f>
        <v>7162685.08288</v>
      </c>
      <c r="I599" s="39" t="n">
        <f aca="false">H599*'Assumptions &amp; Data'!G733</f>
        <v>1236279.44530509</v>
      </c>
      <c r="J599" s="39" t="n">
        <f aca="false">E599*'Assumptions &amp; Data'!H733</f>
        <v>147548.24</v>
      </c>
      <c r="K599" s="39" t="n">
        <f aca="false">H599*'Assumptions &amp; Data'!I733</f>
        <v>149700.118232192</v>
      </c>
      <c r="L599" s="39" t="n">
        <f aca="false">H599*'Assumptions &amp; Data'!J733</f>
        <v>186946.080663168</v>
      </c>
      <c r="M599" s="39" t="n">
        <f aca="false">I599+J599+K599-L599</f>
        <v>1346581.72287411</v>
      </c>
      <c r="N599" s="39" t="n">
        <f aca="false">E599*'Assumptions &amp; Data'!N733</f>
        <v>508560.16</v>
      </c>
      <c r="O599" s="39" t="n">
        <f aca="false">E599*'Assumptions &amp; Data'!O733</f>
        <v>120621.6</v>
      </c>
      <c r="P599" s="39" t="n">
        <f aca="false">H599*'Assumptions &amp; Data'!P733</f>
        <v>70194.313812224</v>
      </c>
      <c r="Q599" s="39" t="n">
        <f aca="false">M599-N599-O599-P599</f>
        <v>647205.649061888</v>
      </c>
      <c r="R599" s="39" t="n">
        <f aca="false">'Assumptions &amp; Data'!L733*'Assumptions &amp; Data'!M733</f>
        <v>312000</v>
      </c>
      <c r="S599" s="37" t="n">
        <f aca="false">'Assumptions &amp; Data'!Q733</f>
        <v>332000</v>
      </c>
      <c r="T599" s="37" t="n">
        <f aca="false">'Assumptions &amp; Data'!R733</f>
        <v>165212</v>
      </c>
      <c r="U599" s="37" t="n">
        <f aca="false">'Assumptions &amp; Data'!S733</f>
        <v>128327</v>
      </c>
      <c r="V599" s="39" t="n">
        <f aca="false">Q599-R599-S599-T599-U599</f>
        <v>-290333.350938112</v>
      </c>
      <c r="W599" s="39" t="n">
        <f aca="false">DAY(EOMONTH(C599,0))</f>
        <v>31</v>
      </c>
      <c r="X599" s="40" t="n">
        <f aca="false">E599/W599</f>
        <v>393.032258064516</v>
      </c>
      <c r="Y599" s="39" t="n">
        <f aca="false">R599+S599+T599+U599</f>
        <v>937539</v>
      </c>
    </row>
    <row r="600" customFormat="false" ht="15" hidden="false" customHeight="false" outlineLevel="0" collapsed="false">
      <c r="A600" s="37" t="str">
        <f aca="false">'Assumptions &amp; Data'!A734</f>
        <v>SM0530</v>
      </c>
      <c r="B600" s="37" t="str">
        <f aca="false">'Assumptions &amp; Data'!B734</f>
        <v>DS045</v>
      </c>
      <c r="C600" s="38" t="n">
        <f aca="false">'Assumptions &amp; Data'!C734</f>
        <v>45962</v>
      </c>
      <c r="D600" s="39" t="str">
        <f aca="false">INDEX('Assumptions &amp; Data'!$B$142:$B$201,MATCH(B600,'Assumptions &amp; Data'!$A$142:$A$201,0))</f>
        <v>Hyderabad</v>
      </c>
      <c r="E600" s="37" t="n">
        <f aca="false">'Assumptions &amp; Data'!D734</f>
        <v>11599</v>
      </c>
      <c r="F600" s="39" t="n">
        <f aca="false">E600*'Assumptions &amp; Data'!E734</f>
        <v>7045232.6</v>
      </c>
      <c r="G600" s="39" t="n">
        <f aca="false">F600*'Assumptions &amp; Data'!F734</f>
        <v>413555.15362</v>
      </c>
      <c r="H600" s="39" t="n">
        <f aca="false">F600-G600</f>
        <v>6631677.44638</v>
      </c>
      <c r="I600" s="39" t="n">
        <f aca="false">H600*'Assumptions &amp; Data'!G734</f>
        <v>1119427.15294894</v>
      </c>
      <c r="J600" s="39" t="n">
        <f aca="false">E600*'Assumptions &amp; Data'!H734</f>
        <v>138028.1</v>
      </c>
      <c r="K600" s="39" t="n">
        <f aca="false">H600*'Assumptions &amp; Data'!I734</f>
        <v>140591.561863256</v>
      </c>
      <c r="L600" s="39" t="n">
        <f aca="false">H600*'Assumptions &amp; Data'!J734</f>
        <v>171097.278116604</v>
      </c>
      <c r="M600" s="39" t="n">
        <f aca="false">I600+J600+K600-L600</f>
        <v>1226949.5366956</v>
      </c>
      <c r="N600" s="39" t="n">
        <f aca="false">E600*'Assumptions &amp; Data'!N734</f>
        <v>490985.67</v>
      </c>
      <c r="O600" s="39" t="n">
        <f aca="false">E600*'Assumptions &amp; Data'!O734</f>
        <v>112046.34</v>
      </c>
      <c r="P600" s="39" t="n">
        <f aca="false">H600*'Assumptions &amp; Data'!P734</f>
        <v>67643.109953076</v>
      </c>
      <c r="Q600" s="39" t="n">
        <f aca="false">M600-N600-O600-P600</f>
        <v>556274.41674252</v>
      </c>
      <c r="R600" s="39" t="n">
        <f aca="false">'Assumptions &amp; Data'!L734*'Assumptions &amp; Data'!M734</f>
        <v>312288</v>
      </c>
      <c r="S600" s="37" t="n">
        <f aca="false">'Assumptions &amp; Data'!Q734</f>
        <v>332000</v>
      </c>
      <c r="T600" s="37" t="n">
        <f aca="false">'Assumptions &amp; Data'!R734</f>
        <v>163183</v>
      </c>
      <c r="U600" s="37" t="n">
        <f aca="false">'Assumptions &amp; Data'!S734</f>
        <v>111427</v>
      </c>
      <c r="V600" s="39" t="n">
        <f aca="false">Q600-R600-S600-T600-U600</f>
        <v>-362623.58325748</v>
      </c>
      <c r="W600" s="39" t="n">
        <f aca="false">DAY(EOMONTH(C600,0))</f>
        <v>30</v>
      </c>
      <c r="X600" s="40" t="n">
        <f aca="false">E600/W600</f>
        <v>386.633333333333</v>
      </c>
      <c r="Y600" s="39" t="n">
        <f aca="false">R600+S600+T600+U600</f>
        <v>918898</v>
      </c>
    </row>
    <row r="601" customFormat="false" ht="15" hidden="false" customHeight="false" outlineLevel="0" collapsed="false">
      <c r="A601" s="37" t="str">
        <f aca="false">'Assumptions &amp; Data'!A735</f>
        <v>SM0531</v>
      </c>
      <c r="B601" s="37" t="str">
        <f aca="false">'Assumptions &amp; Data'!B735</f>
        <v>DS045</v>
      </c>
      <c r="C601" s="38" t="n">
        <f aca="false">'Assumptions &amp; Data'!C735</f>
        <v>45992</v>
      </c>
      <c r="D601" s="39" t="str">
        <f aca="false">INDEX('Assumptions &amp; Data'!$B$142:$B$201,MATCH(B601,'Assumptions &amp; Data'!$A$142:$A$201,0))</f>
        <v>Hyderabad</v>
      </c>
      <c r="E601" s="37" t="n">
        <f aca="false">'Assumptions &amp; Data'!D735</f>
        <v>12453</v>
      </c>
      <c r="F601" s="39" t="n">
        <f aca="false">E601*'Assumptions &amp; Data'!E735</f>
        <v>7492970.1</v>
      </c>
      <c r="G601" s="39" t="n">
        <f aca="false">F601*'Assumptions &amp; Data'!F735</f>
        <v>447330.31497</v>
      </c>
      <c r="H601" s="39" t="n">
        <f aca="false">F601-G601</f>
        <v>7045639.78503</v>
      </c>
      <c r="I601" s="39" t="n">
        <f aca="false">H601*'Assumptions &amp; Data'!G735</f>
        <v>1192122.25162708</v>
      </c>
      <c r="J601" s="39" t="n">
        <f aca="false">E601*'Assumptions &amp; Data'!H735</f>
        <v>146696.34</v>
      </c>
      <c r="K601" s="39" t="n">
        <f aca="false">H601*'Assumptions &amp; Data'!I735</f>
        <v>148662.999464133</v>
      </c>
      <c r="L601" s="39" t="n">
        <f aca="false">H601*'Assumptions &amp; Data'!J735</f>
        <v>180368.378496768</v>
      </c>
      <c r="M601" s="39" t="n">
        <f aca="false">I601+J601+K601-L601</f>
        <v>1307113.21259444</v>
      </c>
      <c r="N601" s="39" t="n">
        <f aca="false">E601*'Assumptions &amp; Data'!N735</f>
        <v>525890.19</v>
      </c>
      <c r="O601" s="39" t="n">
        <f aca="false">E601*'Assumptions &amp; Data'!O735</f>
        <v>124530</v>
      </c>
      <c r="P601" s="39" t="n">
        <f aca="false">H601*'Assumptions &amp; Data'!P735</f>
        <v>73274.653764312</v>
      </c>
      <c r="Q601" s="39" t="n">
        <f aca="false">M601-N601-O601-P601</f>
        <v>583418.368830129</v>
      </c>
      <c r="R601" s="39" t="n">
        <f aca="false">'Assumptions &amp; Data'!L735*'Assumptions &amp; Data'!M735</f>
        <v>312560</v>
      </c>
      <c r="S601" s="37" t="n">
        <f aca="false">'Assumptions &amp; Data'!Q735</f>
        <v>332000</v>
      </c>
      <c r="T601" s="37" t="n">
        <f aca="false">'Assumptions &amp; Data'!R735</f>
        <v>156076</v>
      </c>
      <c r="U601" s="37" t="n">
        <f aca="false">'Assumptions &amp; Data'!S735</f>
        <v>111583</v>
      </c>
      <c r="V601" s="39" t="n">
        <f aca="false">Q601-R601-S601-T601-U601</f>
        <v>-328800.631169871</v>
      </c>
      <c r="W601" s="39" t="n">
        <f aca="false">DAY(EOMONTH(C601,0))</f>
        <v>31</v>
      </c>
      <c r="X601" s="40" t="n">
        <f aca="false">E601/W601</f>
        <v>401.709677419355</v>
      </c>
      <c r="Y601" s="39" t="n">
        <f aca="false">R601+S601+T601+U601</f>
        <v>912219</v>
      </c>
    </row>
    <row r="602" customFormat="false" ht="15" hidden="false" customHeight="false" outlineLevel="0" collapsed="false">
      <c r="A602" s="37" t="str">
        <f aca="false">'Assumptions &amp; Data'!A736</f>
        <v>SM0532</v>
      </c>
      <c r="B602" s="37" t="str">
        <f aca="false">'Assumptions &amp; Data'!B736</f>
        <v>DS045</v>
      </c>
      <c r="C602" s="38" t="n">
        <f aca="false">'Assumptions &amp; Data'!C736</f>
        <v>46023</v>
      </c>
      <c r="D602" s="39" t="str">
        <f aca="false">INDEX('Assumptions &amp; Data'!$B$142:$B$201,MATCH(B602,'Assumptions &amp; Data'!$A$142:$A$201,0))</f>
        <v>Hyderabad</v>
      </c>
      <c r="E602" s="37" t="n">
        <f aca="false">'Assumptions &amp; Data'!D736</f>
        <v>13358</v>
      </c>
      <c r="F602" s="39" t="n">
        <f aca="false">E602*'Assumptions &amp; Data'!E736</f>
        <v>8196468.8</v>
      </c>
      <c r="G602" s="39" t="n">
        <f aca="false">F602*'Assumptions &amp; Data'!F736</f>
        <v>477034.48416</v>
      </c>
      <c r="H602" s="39" t="n">
        <f aca="false">F602-G602</f>
        <v>7719434.31584</v>
      </c>
      <c r="I602" s="39" t="n">
        <f aca="false">H602*'Assumptions &amp; Data'!G736</f>
        <v>1323111.04173498</v>
      </c>
      <c r="J602" s="39" t="n">
        <f aca="false">E602*'Assumptions &amp; Data'!H736</f>
        <v>166574.26</v>
      </c>
      <c r="K602" s="39" t="n">
        <f aca="false">H602*'Assumptions &amp; Data'!I736</f>
        <v>165967.83779056</v>
      </c>
      <c r="L602" s="39" t="n">
        <f aca="false">H602*'Assumptions &amp; Data'!J736</f>
        <v>191441.971032832</v>
      </c>
      <c r="M602" s="39" t="n">
        <f aca="false">I602+J602+K602-L602</f>
        <v>1464211.1684927</v>
      </c>
      <c r="N602" s="39" t="n">
        <f aca="false">E602*'Assumptions &amp; Data'!N736</f>
        <v>561436.74</v>
      </c>
      <c r="O602" s="39" t="n">
        <f aca="false">E602*'Assumptions &amp; Data'!O736</f>
        <v>134381.48</v>
      </c>
      <c r="P602" s="39" t="n">
        <f aca="false">H602*'Assumptions &amp; Data'!P736</f>
        <v>78738.230021568</v>
      </c>
      <c r="Q602" s="39" t="n">
        <f aca="false">M602-N602-O602-P602</f>
        <v>689654.718471136</v>
      </c>
      <c r="R602" s="39" t="n">
        <f aca="false">'Assumptions &amp; Data'!L736*'Assumptions &amp; Data'!M736</f>
        <v>312848</v>
      </c>
      <c r="S602" s="37" t="n">
        <f aca="false">'Assumptions &amp; Data'!Q736</f>
        <v>332000</v>
      </c>
      <c r="T602" s="37" t="n">
        <f aca="false">'Assumptions &amp; Data'!R736</f>
        <v>168051</v>
      </c>
      <c r="U602" s="37" t="n">
        <f aca="false">'Assumptions &amp; Data'!S736</f>
        <v>111816</v>
      </c>
      <c r="V602" s="39" t="n">
        <f aca="false">Q602-R602-S602-T602-U602</f>
        <v>-235060.281528864</v>
      </c>
      <c r="W602" s="39" t="n">
        <f aca="false">DAY(EOMONTH(C602,0))</f>
        <v>31</v>
      </c>
      <c r="X602" s="40" t="n">
        <f aca="false">E602/W602</f>
        <v>430.903225806452</v>
      </c>
      <c r="Y602" s="39" t="n">
        <f aca="false">R602+S602+T602+U602</f>
        <v>924715</v>
      </c>
    </row>
    <row r="603" customFormat="false" ht="15" hidden="false" customHeight="false" outlineLevel="0" collapsed="false">
      <c r="A603" s="37" t="str">
        <f aca="false">'Assumptions &amp; Data'!A737</f>
        <v>SM0533</v>
      </c>
      <c r="B603" s="37" t="str">
        <f aca="false">'Assumptions &amp; Data'!B737</f>
        <v>DS045</v>
      </c>
      <c r="C603" s="38" t="n">
        <f aca="false">'Assumptions &amp; Data'!C737</f>
        <v>46054</v>
      </c>
      <c r="D603" s="39" t="str">
        <f aca="false">INDEX('Assumptions &amp; Data'!$B$142:$B$201,MATCH(B603,'Assumptions &amp; Data'!$A$142:$A$201,0))</f>
        <v>Hyderabad</v>
      </c>
      <c r="E603" s="37" t="n">
        <f aca="false">'Assumptions &amp; Data'!D737</f>
        <v>12162</v>
      </c>
      <c r="F603" s="39" t="n">
        <f aca="false">E603*'Assumptions &amp; Data'!E737</f>
        <v>7415171.4</v>
      </c>
      <c r="G603" s="39" t="n">
        <f aca="false">F603*'Assumptions &amp; Data'!F737</f>
        <v>406351.39272</v>
      </c>
      <c r="H603" s="39" t="n">
        <f aca="false">F603-G603</f>
        <v>7008820.00728</v>
      </c>
      <c r="I603" s="39" t="n">
        <f aca="false">H603*'Assumptions &amp; Data'!G737</f>
        <v>1171874.70521722</v>
      </c>
      <c r="J603" s="39" t="n">
        <f aca="false">E603*'Assumptions &amp; Data'!H737</f>
        <v>148862.88</v>
      </c>
      <c r="K603" s="39" t="n">
        <f aca="false">H603*'Assumptions &amp; Data'!I737</f>
        <v>140877.282146328</v>
      </c>
      <c r="L603" s="39" t="n">
        <f aca="false">H603*'Assumptions &amp; Data'!J737</f>
        <v>177323.146184184</v>
      </c>
      <c r="M603" s="39" t="n">
        <f aca="false">I603+J603+K603-L603</f>
        <v>1284291.72117936</v>
      </c>
      <c r="N603" s="39" t="n">
        <f aca="false">E603*'Assumptions &amp; Data'!N737</f>
        <v>494750.16</v>
      </c>
      <c r="O603" s="39" t="n">
        <f aca="false">E603*'Assumptions &amp; Data'!O737</f>
        <v>120403.8</v>
      </c>
      <c r="P603" s="39" t="n">
        <f aca="false">H603*'Assumptions &amp; Data'!P737</f>
        <v>70789.082073528</v>
      </c>
      <c r="Q603" s="39" t="n">
        <f aca="false">M603-N603-O603-P603</f>
        <v>598348.679105832</v>
      </c>
      <c r="R603" s="39" t="n">
        <f aca="false">'Assumptions &amp; Data'!L737*'Assumptions &amp; Data'!M737</f>
        <v>313136</v>
      </c>
      <c r="S603" s="37" t="n">
        <f aca="false">'Assumptions &amp; Data'!Q737</f>
        <v>332000</v>
      </c>
      <c r="T603" s="37" t="n">
        <f aca="false">'Assumptions &amp; Data'!R737</f>
        <v>163945</v>
      </c>
      <c r="U603" s="37" t="n">
        <f aca="false">'Assumptions &amp; Data'!S737</f>
        <v>101597</v>
      </c>
      <c r="V603" s="39" t="n">
        <f aca="false">Q603-R603-S603-T603-U603</f>
        <v>-312329.320894168</v>
      </c>
      <c r="W603" s="39" t="n">
        <f aca="false">DAY(EOMONTH(C603,0))</f>
        <v>28</v>
      </c>
      <c r="X603" s="40" t="n">
        <f aca="false">E603/W603</f>
        <v>434.357142857143</v>
      </c>
      <c r="Y603" s="39" t="n">
        <f aca="false">R603+S603+T603+U603</f>
        <v>910678</v>
      </c>
    </row>
    <row r="604" customFormat="false" ht="15" hidden="false" customHeight="false" outlineLevel="0" collapsed="false">
      <c r="A604" s="37" t="str">
        <f aca="false">'Assumptions &amp; Data'!A738</f>
        <v>SM0534</v>
      </c>
      <c r="B604" s="37" t="str">
        <f aca="false">'Assumptions &amp; Data'!B738</f>
        <v>DS045</v>
      </c>
      <c r="C604" s="38" t="n">
        <f aca="false">'Assumptions &amp; Data'!C738</f>
        <v>46082</v>
      </c>
      <c r="D604" s="39" t="str">
        <f aca="false">INDEX('Assumptions &amp; Data'!$B$142:$B$201,MATCH(B604,'Assumptions &amp; Data'!$A$142:$A$201,0))</f>
        <v>Hyderabad</v>
      </c>
      <c r="E604" s="37" t="n">
        <f aca="false">'Assumptions &amp; Data'!D738</f>
        <v>16017</v>
      </c>
      <c r="F604" s="39" t="n">
        <f aca="false">E604*'Assumptions &amp; Data'!E738</f>
        <v>9948158.7</v>
      </c>
      <c r="G604" s="39" t="n">
        <f aca="false">F604*'Assumptions &amp; Data'!F738</f>
        <v>575998.38873</v>
      </c>
      <c r="H604" s="39" t="n">
        <f aca="false">F604-G604</f>
        <v>9372160.31127</v>
      </c>
      <c r="I604" s="39" t="n">
        <f aca="false">H604*'Assumptions &amp; Data'!G738</f>
        <v>1579209.012449</v>
      </c>
      <c r="J604" s="39" t="n">
        <f aca="false">E604*'Assumptions &amp; Data'!H738</f>
        <v>202935.39</v>
      </c>
      <c r="K604" s="39" t="n">
        <f aca="false">H604*'Assumptions &amp; Data'!I738</f>
        <v>224931.84747048</v>
      </c>
      <c r="L604" s="39" t="n">
        <f aca="false">H604*'Assumptions &amp; Data'!J738</f>
        <v>216496.903190337</v>
      </c>
      <c r="M604" s="39" t="n">
        <f aca="false">I604+J604+K604-L604</f>
        <v>1790579.34672914</v>
      </c>
      <c r="N604" s="39" t="n">
        <f aca="false">E604*'Assumptions &amp; Data'!N738</f>
        <v>651891.9</v>
      </c>
      <c r="O604" s="39" t="n">
        <f aca="false">E604*'Assumptions &amp; Data'!O738</f>
        <v>159369.15</v>
      </c>
      <c r="P604" s="39" t="n">
        <f aca="false">H604*'Assumptions &amp; Data'!P738</f>
        <v>93721.6031127</v>
      </c>
      <c r="Q604" s="39" t="n">
        <f aca="false">M604-N604-O604-P604</f>
        <v>885596.693616438</v>
      </c>
      <c r="R604" s="39" t="n">
        <f aca="false">'Assumptions &amp; Data'!L738*'Assumptions &amp; Data'!M738</f>
        <v>313424</v>
      </c>
      <c r="S604" s="37" t="n">
        <f aca="false">'Assumptions &amp; Data'!Q738</f>
        <v>332000</v>
      </c>
      <c r="T604" s="37" t="n">
        <f aca="false">'Assumptions &amp; Data'!R738</f>
        <v>168338</v>
      </c>
      <c r="U604" s="37" t="n">
        <f aca="false">'Assumptions &amp; Data'!S738</f>
        <v>118051</v>
      </c>
      <c r="V604" s="39" t="n">
        <f aca="false">Q604-R604-S604-T604-U604</f>
        <v>-46216.306383562</v>
      </c>
      <c r="W604" s="39" t="n">
        <f aca="false">DAY(EOMONTH(C604,0))</f>
        <v>31</v>
      </c>
      <c r="X604" s="40" t="n">
        <f aca="false">E604/W604</f>
        <v>516.677419354839</v>
      </c>
      <c r="Y604" s="39" t="n">
        <f aca="false">R604+S604+T604+U604</f>
        <v>931813</v>
      </c>
    </row>
    <row r="605" customFormat="false" ht="15" hidden="false" customHeight="false" outlineLevel="0" collapsed="false">
      <c r="A605" s="37" t="str">
        <f aca="false">'Assumptions &amp; Data'!A739</f>
        <v>SM0535</v>
      </c>
      <c r="B605" s="37" t="str">
        <f aca="false">'Assumptions &amp; Data'!B739</f>
        <v>DS045</v>
      </c>
      <c r="C605" s="38" t="n">
        <f aca="false">'Assumptions &amp; Data'!C739</f>
        <v>46113</v>
      </c>
      <c r="D605" s="39" t="str">
        <f aca="false">INDEX('Assumptions &amp; Data'!$B$142:$B$201,MATCH(B605,'Assumptions &amp; Data'!$A$142:$A$201,0))</f>
        <v>Hyderabad</v>
      </c>
      <c r="E605" s="37" t="n">
        <f aca="false">'Assumptions &amp; Data'!D739</f>
        <v>15065</v>
      </c>
      <c r="F605" s="39" t="n">
        <f aca="false">E605*'Assumptions &amp; Data'!E739</f>
        <v>9148974.5</v>
      </c>
      <c r="G605" s="39" t="n">
        <f aca="false">F605*'Assumptions &amp; Data'!F739</f>
        <v>489470.13575</v>
      </c>
      <c r="H605" s="39" t="n">
        <f aca="false">F605-G605</f>
        <v>8659504.36425</v>
      </c>
      <c r="I605" s="39" t="n">
        <f aca="false">H605*'Assumptions &amp; Data'!G739</f>
        <v>1463456.23755825</v>
      </c>
      <c r="J605" s="39" t="n">
        <f aca="false">E605*'Assumptions &amp; Data'!H739</f>
        <v>189367.05</v>
      </c>
      <c r="K605" s="39" t="n">
        <f aca="false">H605*'Assumptions &amp; Data'!I739</f>
        <v>205230.253432725</v>
      </c>
      <c r="L605" s="39" t="n">
        <f aca="false">H605*'Assumptions &amp; Data'!J739</f>
        <v>205230.253432725</v>
      </c>
      <c r="M605" s="39" t="n">
        <f aca="false">I605+J605+K605-L605</f>
        <v>1652823.28755825</v>
      </c>
      <c r="N605" s="39" t="n">
        <f aca="false">E605*'Assumptions &amp; Data'!N739</f>
        <v>610885.75</v>
      </c>
      <c r="O605" s="39" t="n">
        <f aca="false">E605*'Assumptions &amp; Data'!O739</f>
        <v>147637</v>
      </c>
      <c r="P605" s="39" t="n">
        <f aca="false">H605*'Assumptions &amp; Data'!P739</f>
        <v>87460.994078925</v>
      </c>
      <c r="Q605" s="39" t="n">
        <f aca="false">M605-N605-O605-P605</f>
        <v>806839.543479325</v>
      </c>
      <c r="R605" s="39" t="n">
        <f aca="false">'Assumptions &amp; Data'!L739*'Assumptions &amp; Data'!M739</f>
        <v>313696</v>
      </c>
      <c r="S605" s="37" t="n">
        <f aca="false">'Assumptions &amp; Data'!Q739</f>
        <v>332000</v>
      </c>
      <c r="T605" s="37" t="n">
        <f aca="false">'Assumptions &amp; Data'!R739</f>
        <v>164398</v>
      </c>
      <c r="U605" s="37" t="n">
        <f aca="false">'Assumptions &amp; Data'!S739</f>
        <v>104067</v>
      </c>
      <c r="V605" s="39" t="n">
        <f aca="false">Q605-R605-S605-T605-U605</f>
        <v>-107321.456520675</v>
      </c>
      <c r="W605" s="39" t="n">
        <f aca="false">DAY(EOMONTH(C605,0))</f>
        <v>30</v>
      </c>
      <c r="X605" s="40" t="n">
        <f aca="false">E605/W605</f>
        <v>502.166666666667</v>
      </c>
      <c r="Y605" s="39" t="n">
        <f aca="false">R605+S605+T605+U605</f>
        <v>914161</v>
      </c>
    </row>
    <row r="606" customFormat="false" ht="15" hidden="false" customHeight="false" outlineLevel="0" collapsed="false">
      <c r="A606" s="37" t="str">
        <f aca="false">'Assumptions &amp; Data'!A740</f>
        <v>SM0536</v>
      </c>
      <c r="B606" s="37" t="str">
        <f aca="false">'Assumptions &amp; Data'!B740</f>
        <v>DS045</v>
      </c>
      <c r="C606" s="38" t="n">
        <f aca="false">'Assumptions &amp; Data'!C740</f>
        <v>46143</v>
      </c>
      <c r="D606" s="39" t="str">
        <f aca="false">INDEX('Assumptions &amp; Data'!$B$142:$B$201,MATCH(B606,'Assumptions &amp; Data'!$A$142:$A$201,0))</f>
        <v>Hyderabad</v>
      </c>
      <c r="E606" s="37" t="n">
        <f aca="false">'Assumptions &amp; Data'!D740</f>
        <v>16608</v>
      </c>
      <c r="F606" s="39" t="n">
        <f aca="false">E606*'Assumptions &amp; Data'!E740</f>
        <v>9903350.4</v>
      </c>
      <c r="G606" s="39" t="n">
        <f aca="false">F606*'Assumptions &amp; Data'!F740</f>
        <v>586278.34368</v>
      </c>
      <c r="H606" s="39" t="n">
        <f aca="false">F606-G606</f>
        <v>9317072.05632</v>
      </c>
      <c r="I606" s="39" t="n">
        <f aca="false">H606*'Assumptions &amp; Data'!G740</f>
        <v>1593219.32163072</v>
      </c>
      <c r="J606" s="39" t="n">
        <f aca="false">E606*'Assumptions &amp; Data'!H740</f>
        <v>204610.56</v>
      </c>
      <c r="K606" s="39" t="n">
        <f aca="false">H606*'Assumptions &amp; Data'!I740</f>
        <v>218951.19332352</v>
      </c>
      <c r="L606" s="39" t="n">
        <f aca="false">H606*'Assumptions &amp; Data'!J740</f>
        <v>214292.65729536</v>
      </c>
      <c r="M606" s="39" t="n">
        <f aca="false">I606+J606+K606-L606</f>
        <v>1802488.41765888</v>
      </c>
      <c r="N606" s="39" t="n">
        <f aca="false">E606*'Assumptions &amp; Data'!N740</f>
        <v>689564.16</v>
      </c>
      <c r="O606" s="39" t="n">
        <f aca="false">E606*'Assumptions &amp; Data'!O740</f>
        <v>163588.8</v>
      </c>
      <c r="P606" s="39" t="n">
        <f aca="false">H606*'Assumptions &amp; Data'!P740</f>
        <v>95965.842180096</v>
      </c>
      <c r="Q606" s="39" t="n">
        <f aca="false">M606-N606-O606-P606</f>
        <v>853369.615478784</v>
      </c>
      <c r="R606" s="39" t="n">
        <f aca="false">'Assumptions &amp; Data'!L740*'Assumptions &amp; Data'!M740</f>
        <v>313984</v>
      </c>
      <c r="S606" s="37" t="n">
        <f aca="false">'Assumptions &amp; Data'!Q740</f>
        <v>332000</v>
      </c>
      <c r="T606" s="37" t="n">
        <f aca="false">'Assumptions &amp; Data'!R740</f>
        <v>163433</v>
      </c>
      <c r="U606" s="37" t="n">
        <f aca="false">'Assumptions &amp; Data'!S740</f>
        <v>105642</v>
      </c>
      <c r="V606" s="39" t="n">
        <f aca="false">Q606-R606-S606-T606-U606</f>
        <v>-61689.3845212163</v>
      </c>
      <c r="W606" s="39" t="n">
        <f aca="false">DAY(EOMONTH(C606,0))</f>
        <v>31</v>
      </c>
      <c r="X606" s="40" t="n">
        <f aca="false">E606/W606</f>
        <v>535.741935483871</v>
      </c>
      <c r="Y606" s="39" t="n">
        <f aca="false">R606+S606+T606+U606</f>
        <v>915059</v>
      </c>
    </row>
    <row r="607" customFormat="false" ht="15" hidden="false" customHeight="false" outlineLevel="0" collapsed="false">
      <c r="A607" s="37" t="str">
        <f aca="false">'Assumptions &amp; Data'!A741</f>
        <v>SM0537</v>
      </c>
      <c r="B607" s="37" t="str">
        <f aca="false">'Assumptions &amp; Data'!B741</f>
        <v>DS045</v>
      </c>
      <c r="C607" s="38" t="n">
        <f aca="false">'Assumptions &amp; Data'!C741</f>
        <v>46174</v>
      </c>
      <c r="D607" s="39" t="str">
        <f aca="false">INDEX('Assumptions &amp; Data'!$B$142:$B$201,MATCH(B607,'Assumptions &amp; Data'!$A$142:$A$201,0))</f>
        <v>Hyderabad</v>
      </c>
      <c r="E607" s="37" t="n">
        <f aca="false">'Assumptions &amp; Data'!D741</f>
        <v>17836</v>
      </c>
      <c r="F607" s="39" t="n">
        <f aca="false">E607*'Assumptions &amp; Data'!E741</f>
        <v>10892445.2</v>
      </c>
      <c r="G607" s="39" t="n">
        <f aca="false">F607*'Assumptions &amp; Data'!F741</f>
        <v>601262.97504</v>
      </c>
      <c r="H607" s="39" t="n">
        <f aca="false">F607-G607</f>
        <v>10291182.22496</v>
      </c>
      <c r="I607" s="39" t="n">
        <f aca="false">H607*'Assumptions &amp; Data'!G741</f>
        <v>1812277.18981546</v>
      </c>
      <c r="J607" s="39" t="n">
        <f aca="false">E607*'Assumptions &amp; Data'!H741</f>
        <v>226160.48</v>
      </c>
      <c r="K607" s="39" t="n">
        <f aca="false">H607*'Assumptions &amp; Data'!I741</f>
        <v>235668.072951584</v>
      </c>
      <c r="L607" s="39" t="n">
        <f aca="false">H607*'Assumptions &amp; Data'!J741</f>
        <v>232580.718284096</v>
      </c>
      <c r="M607" s="39" t="n">
        <f aca="false">I607+J607+K607-L607</f>
        <v>2041525.02448294</v>
      </c>
      <c r="N607" s="39" t="n">
        <f aca="false">E607*'Assumptions &amp; Data'!N741</f>
        <v>704165.28</v>
      </c>
      <c r="O607" s="39" t="n">
        <f aca="false">E607*'Assumptions &amp; Data'!O741</f>
        <v>178360</v>
      </c>
      <c r="P607" s="39" t="n">
        <f aca="false">H607*'Assumptions &amp; Data'!P741</f>
        <v>100853.585804608</v>
      </c>
      <c r="Q607" s="39" t="n">
        <f aca="false">M607-N607-O607-P607</f>
        <v>1058146.15867834</v>
      </c>
      <c r="R607" s="39" t="n">
        <f aca="false">'Assumptions &amp; Data'!L741*'Assumptions &amp; Data'!M741</f>
        <v>314272</v>
      </c>
      <c r="S607" s="37" t="n">
        <f aca="false">'Assumptions &amp; Data'!Q741</f>
        <v>332000</v>
      </c>
      <c r="T607" s="37" t="n">
        <f aca="false">'Assumptions &amp; Data'!R741</f>
        <v>168953</v>
      </c>
      <c r="U607" s="37" t="n">
        <f aca="false">'Assumptions &amp; Data'!S741</f>
        <v>116416</v>
      </c>
      <c r="V607" s="39" t="n">
        <f aca="false">Q607-R607-S607-T607-U607</f>
        <v>126505.158678336</v>
      </c>
      <c r="W607" s="39" t="n">
        <f aca="false">DAY(EOMONTH(C607,0))</f>
        <v>30</v>
      </c>
      <c r="X607" s="40" t="n">
        <f aca="false">E607/W607</f>
        <v>594.533333333333</v>
      </c>
      <c r="Y607" s="39" t="n">
        <f aca="false">R607+S607+T607+U607</f>
        <v>931641</v>
      </c>
    </row>
    <row r="608" customFormat="false" ht="15" hidden="false" customHeight="false" outlineLevel="0" collapsed="false">
      <c r="A608" s="37" t="str">
        <f aca="false">'Assumptions &amp; Data'!A742</f>
        <v>SM0538</v>
      </c>
      <c r="B608" s="37" t="str">
        <f aca="false">'Assumptions &amp; Data'!B742</f>
        <v>DS045</v>
      </c>
      <c r="C608" s="38" t="n">
        <f aca="false">'Assumptions &amp; Data'!C742</f>
        <v>46204</v>
      </c>
      <c r="D608" s="39" t="str">
        <f aca="false">INDEX('Assumptions &amp; Data'!$B$142:$B$201,MATCH(B608,'Assumptions &amp; Data'!$A$142:$A$201,0))</f>
        <v>Hyderabad</v>
      </c>
      <c r="E608" s="37" t="n">
        <f aca="false">'Assumptions &amp; Data'!D742</f>
        <v>15542</v>
      </c>
      <c r="F608" s="39" t="n">
        <f aca="false">E608*'Assumptions &amp; Data'!E742</f>
        <v>9300332.8</v>
      </c>
      <c r="G608" s="39" t="n">
        <f aca="false">F608*'Assumptions &amp; Data'!F742</f>
        <v>472456.90624</v>
      </c>
      <c r="H608" s="39" t="n">
        <f aca="false">F608-G608</f>
        <v>8827875.89376</v>
      </c>
      <c r="I608" s="39" t="n">
        <f aca="false">H608*'Assumptions &amp; Data'!G742</f>
        <v>1494559.38881357</v>
      </c>
      <c r="J608" s="39" t="n">
        <f aca="false">E608*'Assumptions &amp; Data'!H742</f>
        <v>198315.92</v>
      </c>
      <c r="K608" s="39" t="n">
        <f aca="false">H608*'Assumptions &amp; Data'!I742</f>
        <v>200392.782788352</v>
      </c>
      <c r="L608" s="39" t="n">
        <f aca="false">H608*'Assumptions &amp; Data'!J742</f>
        <v>205689.508324608</v>
      </c>
      <c r="M608" s="39" t="n">
        <f aca="false">I608+J608+K608-L608</f>
        <v>1687578.58327731</v>
      </c>
      <c r="N608" s="39" t="n">
        <f aca="false">E608*'Assumptions &amp; Data'!N742</f>
        <v>631782.3</v>
      </c>
      <c r="O608" s="39" t="n">
        <f aca="false">E608*'Assumptions &amp; Data'!O742</f>
        <v>151534.5</v>
      </c>
      <c r="P608" s="39" t="n">
        <f aca="false">H608*'Assumptions &amp; Data'!P742</f>
        <v>90927.121705728</v>
      </c>
      <c r="Q608" s="39" t="n">
        <f aca="false">M608-N608-O608-P608</f>
        <v>813334.661571584</v>
      </c>
      <c r="R608" s="39" t="n">
        <f aca="false">'Assumptions &amp; Data'!L742*'Assumptions &amp; Data'!M742</f>
        <v>314560</v>
      </c>
      <c r="S608" s="37" t="n">
        <f aca="false">'Assumptions &amp; Data'!Q742</f>
        <v>332000</v>
      </c>
      <c r="T608" s="37" t="n">
        <f aca="false">'Assumptions &amp; Data'!R742</f>
        <v>162469</v>
      </c>
      <c r="U608" s="37" t="n">
        <f aca="false">'Assumptions &amp; Data'!S742</f>
        <v>103084</v>
      </c>
      <c r="V608" s="39" t="n">
        <f aca="false">Q608-R608-S608-T608-U608</f>
        <v>-98778.3384284162</v>
      </c>
      <c r="W608" s="39" t="n">
        <f aca="false">DAY(EOMONTH(C608,0))</f>
        <v>31</v>
      </c>
      <c r="X608" s="40" t="n">
        <f aca="false">E608/W608</f>
        <v>501.354838709677</v>
      </c>
      <c r="Y608" s="39" t="n">
        <f aca="false">R608+S608+T608+U608</f>
        <v>912113</v>
      </c>
    </row>
    <row r="609" customFormat="false" ht="15" hidden="false" customHeight="false" outlineLevel="0" collapsed="false">
      <c r="A609" s="37" t="str">
        <f aca="false">'Assumptions &amp; Data'!A743</f>
        <v>SM0539</v>
      </c>
      <c r="B609" s="37" t="str">
        <f aca="false">'Assumptions &amp; Data'!B743</f>
        <v>DS045</v>
      </c>
      <c r="C609" s="38" t="n">
        <f aca="false">'Assumptions &amp; Data'!C743</f>
        <v>46235</v>
      </c>
      <c r="D609" s="39" t="str">
        <f aca="false">INDEX('Assumptions &amp; Data'!$B$142:$B$201,MATCH(B609,'Assumptions &amp; Data'!$A$142:$A$201,0))</f>
        <v>Hyderabad</v>
      </c>
      <c r="E609" s="37" t="n">
        <f aca="false">'Assumptions &amp; Data'!D743</f>
        <v>15502</v>
      </c>
      <c r="F609" s="39" t="n">
        <f aca="false">E609*'Assumptions &amp; Data'!E743</f>
        <v>9288798.4</v>
      </c>
      <c r="G609" s="39" t="n">
        <f aca="false">F609*'Assumptions &amp; Data'!F743</f>
        <v>539679.18704</v>
      </c>
      <c r="H609" s="39" t="n">
        <f aca="false">F609-G609</f>
        <v>8749119.21296</v>
      </c>
      <c r="I609" s="39" t="n">
        <f aca="false">H609*'Assumptions &amp; Data'!G743</f>
        <v>1484725.53043931</v>
      </c>
      <c r="J609" s="39" t="n">
        <f aca="false">E609*'Assumptions &amp; Data'!H743</f>
        <v>185403.92</v>
      </c>
      <c r="K609" s="39" t="n">
        <f aca="false">H609*'Assumptions &amp; Data'!I743</f>
        <v>198605.006134192</v>
      </c>
      <c r="L609" s="39" t="n">
        <f aca="false">H609*'Assumptions &amp; Data'!J743</f>
        <v>211728.684953632</v>
      </c>
      <c r="M609" s="39" t="n">
        <f aca="false">I609+J609+K609-L609</f>
        <v>1657005.77161987</v>
      </c>
      <c r="N609" s="39" t="n">
        <f aca="false">E609*'Assumptions &amp; Data'!N743</f>
        <v>652014.12</v>
      </c>
      <c r="O609" s="39" t="n">
        <f aca="false">E609*'Assumptions &amp; Data'!O743</f>
        <v>153624.82</v>
      </c>
      <c r="P609" s="39" t="n">
        <f aca="false">H609*'Assumptions &amp; Data'!P743</f>
        <v>92740.663657376</v>
      </c>
      <c r="Q609" s="39" t="n">
        <f aca="false">M609-N609-O609-P609</f>
        <v>758626.167962496</v>
      </c>
      <c r="R609" s="39" t="n">
        <f aca="false">'Assumptions &amp; Data'!L743*'Assumptions &amp; Data'!M743</f>
        <v>314832</v>
      </c>
      <c r="S609" s="37" t="n">
        <f aca="false">'Assumptions &amp; Data'!Q743</f>
        <v>332000</v>
      </c>
      <c r="T609" s="37" t="n">
        <f aca="false">'Assumptions &amp; Data'!R743</f>
        <v>165618</v>
      </c>
      <c r="U609" s="37" t="n">
        <f aca="false">'Assumptions &amp; Data'!S743</f>
        <v>92069</v>
      </c>
      <c r="V609" s="39" t="n">
        <f aca="false">Q609-R609-S609-T609-U609</f>
        <v>-145892.832037504</v>
      </c>
      <c r="W609" s="39" t="n">
        <f aca="false">DAY(EOMONTH(C609,0))</f>
        <v>31</v>
      </c>
      <c r="X609" s="40" t="n">
        <f aca="false">E609/W609</f>
        <v>500.064516129032</v>
      </c>
      <c r="Y609" s="39" t="n">
        <f aca="false">R609+S609+T609+U609</f>
        <v>904519</v>
      </c>
    </row>
    <row r="610" customFormat="false" ht="15" hidden="false" customHeight="false" outlineLevel="0" collapsed="false">
      <c r="A610" s="37" t="str">
        <f aca="false">'Assumptions &amp; Data'!A744</f>
        <v>SM0540</v>
      </c>
      <c r="B610" s="37" t="str">
        <f aca="false">'Assumptions &amp; Data'!B744</f>
        <v>DS045</v>
      </c>
      <c r="C610" s="38" t="n">
        <f aca="false">'Assumptions &amp; Data'!C744</f>
        <v>46266</v>
      </c>
      <c r="D610" s="39" t="str">
        <f aca="false">INDEX('Assumptions &amp; Data'!$B$142:$B$201,MATCH(B610,'Assumptions &amp; Data'!$A$142:$A$201,0))</f>
        <v>Hyderabad</v>
      </c>
      <c r="E610" s="37" t="n">
        <f aca="false">'Assumptions &amp; Data'!D744</f>
        <v>17259</v>
      </c>
      <c r="F610" s="39" t="n">
        <f aca="false">E610*'Assumptions &amp; Data'!E744</f>
        <v>10453776.3</v>
      </c>
      <c r="G610" s="39" t="n">
        <f aca="false">F610*'Assumptions &amp; Data'!F744</f>
        <v>574957.6965</v>
      </c>
      <c r="H610" s="39" t="n">
        <f aca="false">F610-G610</f>
        <v>9878818.6035</v>
      </c>
      <c r="I610" s="39" t="n">
        <f aca="false">H610*'Assumptions &amp; Data'!G744</f>
        <v>1682362.80817605</v>
      </c>
      <c r="J610" s="39" t="n">
        <f aca="false">E610*'Assumptions &amp; Data'!H744</f>
        <v>206245.05</v>
      </c>
      <c r="K610" s="39" t="n">
        <f aca="false">H610*'Assumptions &amp; Data'!I744</f>
        <v>237091.646484</v>
      </c>
      <c r="L610" s="39" t="n">
        <f aca="false">H610*'Assumptions &amp; Data'!J744</f>
        <v>214370.36369595</v>
      </c>
      <c r="M610" s="39" t="n">
        <f aca="false">I610+J610+K610-L610</f>
        <v>1911329.1409641</v>
      </c>
      <c r="N610" s="39" t="n">
        <f aca="false">E610*'Assumptions &amp; Data'!N744</f>
        <v>689842.23</v>
      </c>
      <c r="O610" s="39" t="n">
        <f aca="false">E610*'Assumptions &amp; Data'!O744</f>
        <v>170691.51</v>
      </c>
      <c r="P610" s="39" t="n">
        <f aca="false">H610*'Assumptions &amp; Data'!P744</f>
        <v>96812.4223143</v>
      </c>
      <c r="Q610" s="39" t="n">
        <f aca="false">M610-N610-O610-P610</f>
        <v>953982.9786498</v>
      </c>
      <c r="R610" s="39" t="n">
        <f aca="false">'Assumptions &amp; Data'!L744*'Assumptions &amp; Data'!M744</f>
        <v>315120</v>
      </c>
      <c r="S610" s="37" t="n">
        <f aca="false">'Assumptions &amp; Data'!Q744</f>
        <v>332000</v>
      </c>
      <c r="T610" s="37" t="n">
        <f aca="false">'Assumptions &amp; Data'!R744</f>
        <v>163139</v>
      </c>
      <c r="U610" s="37" t="n">
        <f aca="false">'Assumptions &amp; Data'!S744</f>
        <v>97375</v>
      </c>
      <c r="V610" s="39" t="n">
        <f aca="false">Q610-R610-S610-T610-U610</f>
        <v>46348.9786498004</v>
      </c>
      <c r="W610" s="39" t="n">
        <f aca="false">DAY(EOMONTH(C610,0))</f>
        <v>30</v>
      </c>
      <c r="X610" s="40" t="n">
        <f aca="false">E610/W610</f>
        <v>575.3</v>
      </c>
      <c r="Y610" s="39" t="n">
        <f aca="false">R610+S610+T610+U610</f>
        <v>907634</v>
      </c>
    </row>
    <row r="611" customFormat="false" ht="15" hidden="false" customHeight="false" outlineLevel="0" collapsed="false">
      <c r="A611" s="37" t="str">
        <f aca="false">'Assumptions &amp; Data'!A745</f>
        <v>SM0541</v>
      </c>
      <c r="B611" s="37" t="str">
        <f aca="false">'Assumptions &amp; Data'!B745</f>
        <v>DS046</v>
      </c>
      <c r="C611" s="38" t="n">
        <f aca="false">'Assumptions &amp; Data'!C745</f>
        <v>45931</v>
      </c>
      <c r="D611" s="39" t="str">
        <f aca="false">INDEX('Assumptions &amp; Data'!$B$142:$B$201,MATCH(B611,'Assumptions &amp; Data'!$A$142:$A$201,0))</f>
        <v>Hyderabad</v>
      </c>
      <c r="E611" s="37" t="n">
        <f aca="false">'Assumptions &amp; Data'!D745</f>
        <v>28205</v>
      </c>
      <c r="F611" s="39" t="n">
        <f aca="false">E611*'Assumptions &amp; Data'!E745</f>
        <v>19295040.5</v>
      </c>
      <c r="G611" s="39" t="n">
        <f aca="false">F611*'Assumptions &amp; Data'!F745</f>
        <v>1121041.85305</v>
      </c>
      <c r="H611" s="39" t="n">
        <f aca="false">F611-G611</f>
        <v>18173998.64695</v>
      </c>
      <c r="I611" s="39" t="n">
        <f aca="false">H611*'Assumptions &amp; Data'!G745</f>
        <v>3100484.16916967</v>
      </c>
      <c r="J611" s="39" t="n">
        <f aca="false">E611*'Assumptions &amp; Data'!H745</f>
        <v>348331.75</v>
      </c>
      <c r="K611" s="39" t="n">
        <f aca="false">H611*'Assumptions &amp; Data'!I745</f>
        <v>512506.76184399</v>
      </c>
      <c r="L611" s="39" t="n">
        <f aca="false">H611*'Assumptions &amp; Data'!J745</f>
        <v>537950.35994972</v>
      </c>
      <c r="M611" s="39" t="n">
        <f aca="false">I611+J611+K611-L611</f>
        <v>3423372.32106394</v>
      </c>
      <c r="N611" s="39" t="n">
        <f aca="false">E611*'Assumptions &amp; Data'!N745</f>
        <v>1129610.25</v>
      </c>
      <c r="O611" s="39" t="n">
        <f aca="false">E611*'Assumptions &amp; Data'!O745</f>
        <v>274152.6</v>
      </c>
      <c r="P611" s="39" t="n">
        <f aca="false">H611*'Assumptions &amp; Data'!P745</f>
        <v>183557.386334195</v>
      </c>
      <c r="Q611" s="39" t="n">
        <f aca="false">M611-N611-O611-P611</f>
        <v>1836052.08472974</v>
      </c>
      <c r="R611" s="39" t="n">
        <f aca="false">'Assumptions &amp; Data'!L745*'Assumptions &amp; Data'!M745</f>
        <v>370500</v>
      </c>
      <c r="S611" s="37" t="n">
        <f aca="false">'Assumptions &amp; Data'!Q745</f>
        <v>388500</v>
      </c>
      <c r="T611" s="37" t="n">
        <f aca="false">'Assumptions &amp; Data'!R745</f>
        <v>145027</v>
      </c>
      <c r="U611" s="37" t="n">
        <f aca="false">'Assumptions &amp; Data'!S745</f>
        <v>295078</v>
      </c>
      <c r="V611" s="39" t="n">
        <f aca="false">Q611-R611-S611-T611-U611</f>
        <v>636947.084729745</v>
      </c>
      <c r="W611" s="39" t="n">
        <f aca="false">DAY(EOMONTH(C611,0))</f>
        <v>31</v>
      </c>
      <c r="X611" s="40" t="n">
        <f aca="false">E611/W611</f>
        <v>909.838709677419</v>
      </c>
      <c r="Y611" s="39" t="n">
        <f aca="false">R611+S611+T611+U611</f>
        <v>1199105</v>
      </c>
    </row>
    <row r="612" customFormat="false" ht="15" hidden="false" customHeight="false" outlineLevel="0" collapsed="false">
      <c r="A612" s="37" t="str">
        <f aca="false">'Assumptions &amp; Data'!A746</f>
        <v>SM0542</v>
      </c>
      <c r="B612" s="37" t="str">
        <f aca="false">'Assumptions &amp; Data'!B746</f>
        <v>DS046</v>
      </c>
      <c r="C612" s="38" t="n">
        <f aca="false">'Assumptions &amp; Data'!C746</f>
        <v>45962</v>
      </c>
      <c r="D612" s="39" t="str">
        <f aca="false">INDEX('Assumptions &amp; Data'!$B$142:$B$201,MATCH(B612,'Assumptions &amp; Data'!$A$142:$A$201,0))</f>
        <v>Hyderabad</v>
      </c>
      <c r="E612" s="37" t="n">
        <f aca="false">'Assumptions &amp; Data'!D746</f>
        <v>29072</v>
      </c>
      <c r="F612" s="39" t="n">
        <f aca="false">E612*'Assumptions &amp; Data'!E746</f>
        <v>19213684.8</v>
      </c>
      <c r="G612" s="39" t="n">
        <f aca="false">F612*'Assumptions &amp; Data'!F746</f>
        <v>1066359.5064</v>
      </c>
      <c r="H612" s="39" t="n">
        <f aca="false">F612-G612</f>
        <v>18147325.2936</v>
      </c>
      <c r="I612" s="39" t="n">
        <f aca="false">H612*'Assumptions &amp; Data'!G746</f>
        <v>3057824.3119716</v>
      </c>
      <c r="J612" s="39" t="n">
        <f aca="false">E612*'Assumptions &amp; Data'!H746</f>
        <v>346538.24</v>
      </c>
      <c r="K612" s="39" t="n">
        <f aca="false">H612*'Assumptions &amp; Data'!I746</f>
        <v>470015.72510424</v>
      </c>
      <c r="L612" s="39" t="n">
        <f aca="false">H612*'Assumptions &amp; Data'!J746</f>
        <v>504495.64316208</v>
      </c>
      <c r="M612" s="39" t="n">
        <f aca="false">I612+J612+K612-L612</f>
        <v>3369882.63391376</v>
      </c>
      <c r="N612" s="39" t="n">
        <f aca="false">E612*'Assumptions &amp; Data'!N746</f>
        <v>1147762.56</v>
      </c>
      <c r="O612" s="39" t="n">
        <f aca="false">E612*'Assumptions &amp; Data'!O746</f>
        <v>291882.88</v>
      </c>
      <c r="P612" s="39" t="n">
        <f aca="false">H612*'Assumptions &amp; Data'!P746</f>
        <v>183287.98546536</v>
      </c>
      <c r="Q612" s="39" t="n">
        <f aca="false">M612-N612-O612-P612</f>
        <v>1746949.2084484</v>
      </c>
      <c r="R612" s="39" t="n">
        <f aca="false">'Assumptions &amp; Data'!L746*'Assumptions &amp; Data'!M746</f>
        <v>370842</v>
      </c>
      <c r="S612" s="37" t="n">
        <f aca="false">'Assumptions &amp; Data'!Q746</f>
        <v>388500</v>
      </c>
      <c r="T612" s="37" t="n">
        <f aca="false">'Assumptions &amp; Data'!R746</f>
        <v>154617</v>
      </c>
      <c r="U612" s="37" t="n">
        <f aca="false">'Assumptions &amp; Data'!S746</f>
        <v>285382</v>
      </c>
      <c r="V612" s="39" t="n">
        <f aca="false">Q612-R612-S612-T612-U612</f>
        <v>547608.208448401</v>
      </c>
      <c r="W612" s="39" t="n">
        <f aca="false">DAY(EOMONTH(C612,0))</f>
        <v>30</v>
      </c>
      <c r="X612" s="40" t="n">
        <f aca="false">E612/W612</f>
        <v>969.066666666667</v>
      </c>
      <c r="Y612" s="39" t="n">
        <f aca="false">R612+S612+T612+U612</f>
        <v>1199341</v>
      </c>
    </row>
    <row r="613" customFormat="false" ht="15" hidden="false" customHeight="false" outlineLevel="0" collapsed="false">
      <c r="A613" s="37" t="str">
        <f aca="false">'Assumptions &amp; Data'!A747</f>
        <v>SM0543</v>
      </c>
      <c r="B613" s="37" t="str">
        <f aca="false">'Assumptions &amp; Data'!B747</f>
        <v>DS046</v>
      </c>
      <c r="C613" s="38" t="n">
        <f aca="false">'Assumptions &amp; Data'!C747</f>
        <v>45992</v>
      </c>
      <c r="D613" s="39" t="str">
        <f aca="false">INDEX('Assumptions &amp; Data'!$B$142:$B$201,MATCH(B613,'Assumptions &amp; Data'!$A$142:$A$201,0))</f>
        <v>Hyderabad</v>
      </c>
      <c r="E613" s="37" t="n">
        <f aca="false">'Assumptions &amp; Data'!D747</f>
        <v>32241</v>
      </c>
      <c r="F613" s="39" t="n">
        <f aca="false">E613*'Assumptions &amp; Data'!E747</f>
        <v>21372558.9</v>
      </c>
      <c r="G613" s="39" t="n">
        <f aca="false">F613*'Assumptions &amp; Data'!F747</f>
        <v>1248157.43976</v>
      </c>
      <c r="H613" s="39" t="n">
        <f aca="false">F613-G613</f>
        <v>20124401.46024</v>
      </c>
      <c r="I613" s="39" t="n">
        <f aca="false">H613*'Assumptions &amp; Data'!G747</f>
        <v>3332600.88181574</v>
      </c>
      <c r="J613" s="39" t="n">
        <f aca="false">E613*'Assumptions &amp; Data'!H747</f>
        <v>388181.64</v>
      </c>
      <c r="K613" s="39" t="n">
        <f aca="false">H613*'Assumptions &amp; Data'!I747</f>
        <v>581595.202200936</v>
      </c>
      <c r="L613" s="39" t="n">
        <f aca="false">H613*'Assumptions &amp; Data'!J747</f>
        <v>567508.121178768</v>
      </c>
      <c r="M613" s="39" t="n">
        <f aca="false">I613+J613+K613-L613</f>
        <v>3734869.60283791</v>
      </c>
      <c r="N613" s="39" t="n">
        <f aca="false">E613*'Assumptions &amp; Data'!N747</f>
        <v>1255142.13</v>
      </c>
      <c r="O613" s="39" t="n">
        <f aca="false">E613*'Assumptions &amp; Data'!O747</f>
        <v>317251.44</v>
      </c>
      <c r="P613" s="39" t="n">
        <f aca="false">H613*'Assumptions &amp; Data'!P747</f>
        <v>199231.574456376</v>
      </c>
      <c r="Q613" s="39" t="n">
        <f aca="false">M613-N613-O613-P613</f>
        <v>1963244.45838154</v>
      </c>
      <c r="R613" s="39" t="n">
        <f aca="false">'Assumptions &amp; Data'!L747*'Assumptions &amp; Data'!M747</f>
        <v>449305</v>
      </c>
      <c r="S613" s="37" t="n">
        <f aca="false">'Assumptions &amp; Data'!Q747</f>
        <v>388500</v>
      </c>
      <c r="T613" s="37" t="n">
        <f aca="false">'Assumptions &amp; Data'!R747</f>
        <v>142017</v>
      </c>
      <c r="U613" s="37" t="n">
        <f aca="false">'Assumptions &amp; Data'!S747</f>
        <v>289061</v>
      </c>
      <c r="V613" s="39" t="n">
        <f aca="false">Q613-R613-S613-T613-U613</f>
        <v>694361.458381536</v>
      </c>
      <c r="W613" s="39" t="n">
        <f aca="false">DAY(EOMONTH(C613,0))</f>
        <v>31</v>
      </c>
      <c r="X613" s="40" t="n">
        <f aca="false">E613/W613</f>
        <v>1040.03225806452</v>
      </c>
      <c r="Y613" s="39" t="n">
        <f aca="false">R613+S613+T613+U613</f>
        <v>1268883</v>
      </c>
    </row>
    <row r="614" customFormat="false" ht="15" hidden="false" customHeight="false" outlineLevel="0" collapsed="false">
      <c r="A614" s="37" t="str">
        <f aca="false">'Assumptions &amp; Data'!A748</f>
        <v>SM0544</v>
      </c>
      <c r="B614" s="37" t="str">
        <f aca="false">'Assumptions &amp; Data'!B748</f>
        <v>DS046</v>
      </c>
      <c r="C614" s="38" t="n">
        <f aca="false">'Assumptions &amp; Data'!C748</f>
        <v>46023</v>
      </c>
      <c r="D614" s="39" t="str">
        <f aca="false">INDEX('Assumptions &amp; Data'!$B$142:$B$201,MATCH(B614,'Assumptions &amp; Data'!$A$142:$A$201,0))</f>
        <v>Hyderabad</v>
      </c>
      <c r="E614" s="37" t="n">
        <f aca="false">'Assumptions &amp; Data'!D748</f>
        <v>28126</v>
      </c>
      <c r="F614" s="39" t="n">
        <f aca="false">E614*'Assumptions &amp; Data'!E748</f>
        <v>19080678.4</v>
      </c>
      <c r="G614" s="39" t="n">
        <f aca="false">F614*'Assumptions &amp; Data'!F748</f>
        <v>1120035.82208</v>
      </c>
      <c r="H614" s="39" t="n">
        <f aca="false">F614-G614</f>
        <v>17960642.57792</v>
      </c>
      <c r="I614" s="39" t="n">
        <f aca="false">H614*'Assumptions &amp; Data'!G748</f>
        <v>3020980.08160614</v>
      </c>
      <c r="J614" s="39" t="n">
        <f aca="false">E614*'Assumptions &amp; Data'!H748</f>
        <v>346793.58</v>
      </c>
      <c r="K614" s="39" t="n">
        <f aca="false">H614*'Assumptions &amp; Data'!I748</f>
        <v>497509.799408384</v>
      </c>
      <c r="L614" s="39" t="n">
        <f aca="false">H614*'Assumptions &amp; Data'!J748</f>
        <v>520858.63475968</v>
      </c>
      <c r="M614" s="39" t="n">
        <f aca="false">I614+J614+K614-L614</f>
        <v>3344424.82625485</v>
      </c>
      <c r="N614" s="39" t="n">
        <f aca="false">E614*'Assumptions &amp; Data'!N748</f>
        <v>1140790.56</v>
      </c>
      <c r="O614" s="39" t="n">
        <f aca="false">E614*'Assumptions &amp; Data'!O748</f>
        <v>283510.08</v>
      </c>
      <c r="P614" s="39" t="n">
        <f aca="false">H614*'Assumptions &amp; Data'!P748</f>
        <v>179606.4257792</v>
      </c>
      <c r="Q614" s="39" t="n">
        <f aca="false">M614-N614-O614-P614</f>
        <v>1740517.76047565</v>
      </c>
      <c r="R614" s="39" t="n">
        <f aca="false">'Assumptions &amp; Data'!L748*'Assumptions &amp; Data'!M748</f>
        <v>371507</v>
      </c>
      <c r="S614" s="37" t="n">
        <f aca="false">'Assumptions &amp; Data'!Q748</f>
        <v>388500</v>
      </c>
      <c r="T614" s="37" t="n">
        <f aca="false">'Assumptions &amp; Data'!R748</f>
        <v>156829</v>
      </c>
      <c r="U614" s="37" t="n">
        <f aca="false">'Assumptions &amp; Data'!S748</f>
        <v>242306</v>
      </c>
      <c r="V614" s="39" t="n">
        <f aca="false">Q614-R614-S614-T614-U614</f>
        <v>581375.760475647</v>
      </c>
      <c r="W614" s="39" t="n">
        <f aca="false">DAY(EOMONTH(C614,0))</f>
        <v>31</v>
      </c>
      <c r="X614" s="40" t="n">
        <f aca="false">E614/W614</f>
        <v>907.290322580645</v>
      </c>
      <c r="Y614" s="39" t="n">
        <f aca="false">R614+S614+T614+U614</f>
        <v>1159142</v>
      </c>
    </row>
    <row r="615" customFormat="false" ht="15" hidden="false" customHeight="false" outlineLevel="0" collapsed="false">
      <c r="A615" s="37" t="str">
        <f aca="false">'Assumptions &amp; Data'!A749</f>
        <v>SM0545</v>
      </c>
      <c r="B615" s="37" t="str">
        <f aca="false">'Assumptions &amp; Data'!B749</f>
        <v>DS046</v>
      </c>
      <c r="C615" s="38" t="n">
        <f aca="false">'Assumptions &amp; Data'!C749</f>
        <v>46054</v>
      </c>
      <c r="D615" s="39" t="str">
        <f aca="false">INDEX('Assumptions &amp; Data'!$B$142:$B$201,MATCH(B615,'Assumptions &amp; Data'!$A$142:$A$201,0))</f>
        <v>Hyderabad</v>
      </c>
      <c r="E615" s="37" t="n">
        <f aca="false">'Assumptions &amp; Data'!D749</f>
        <v>29148</v>
      </c>
      <c r="F615" s="39" t="n">
        <f aca="false">E615*'Assumptions &amp; Data'!E749</f>
        <v>19660326</v>
      </c>
      <c r="G615" s="39" t="n">
        <f aca="false">F615*'Assumptions &amp; Data'!F749</f>
        <v>1087216.0278</v>
      </c>
      <c r="H615" s="39" t="n">
        <f aca="false">F615-G615</f>
        <v>18573109.9722</v>
      </c>
      <c r="I615" s="39" t="n">
        <f aca="false">H615*'Assumptions &amp; Data'!G749</f>
        <v>3172287.18325176</v>
      </c>
      <c r="J615" s="39" t="n">
        <f aca="false">E615*'Assumptions &amp; Data'!H749</f>
        <v>342780.48</v>
      </c>
      <c r="K615" s="39" t="n">
        <f aca="false">H615*'Assumptions &amp; Data'!I749</f>
        <v>505188.59124384</v>
      </c>
      <c r="L615" s="39" t="n">
        <f aca="false">H615*'Assumptions &amp; Data'!J749</f>
        <v>527476.32321048</v>
      </c>
      <c r="M615" s="39" t="n">
        <f aca="false">I615+J615+K615-L615</f>
        <v>3492779.93128512</v>
      </c>
      <c r="N615" s="39" t="n">
        <f aca="false">E615*'Assumptions &amp; Data'!N749</f>
        <v>1154843.76</v>
      </c>
      <c r="O615" s="39" t="n">
        <f aca="false">E615*'Assumptions &amp; Data'!O749</f>
        <v>293811.84</v>
      </c>
      <c r="P615" s="39" t="n">
        <f aca="false">H615*'Assumptions &amp; Data'!P749</f>
        <v>187588.41071922</v>
      </c>
      <c r="Q615" s="39" t="n">
        <f aca="false">M615-N615-O615-P615</f>
        <v>1856535.9205659</v>
      </c>
      <c r="R615" s="39" t="n">
        <f aca="false">'Assumptions &amp; Data'!L749*'Assumptions &amp; Data'!M749</f>
        <v>410991</v>
      </c>
      <c r="S615" s="37" t="n">
        <f aca="false">'Assumptions &amp; Data'!Q749</f>
        <v>388500</v>
      </c>
      <c r="T615" s="37" t="n">
        <f aca="false">'Assumptions &amp; Data'!R749</f>
        <v>151504</v>
      </c>
      <c r="U615" s="37" t="n">
        <f aca="false">'Assumptions &amp; Data'!S749</f>
        <v>230481</v>
      </c>
      <c r="V615" s="39" t="n">
        <f aca="false">Q615-R615-S615-T615-U615</f>
        <v>675059.9205659</v>
      </c>
      <c r="W615" s="39" t="n">
        <f aca="false">DAY(EOMONTH(C615,0))</f>
        <v>28</v>
      </c>
      <c r="X615" s="40" t="n">
        <f aca="false">E615/W615</f>
        <v>1041</v>
      </c>
      <c r="Y615" s="39" t="n">
        <f aca="false">R615+S615+T615+U615</f>
        <v>1181476</v>
      </c>
    </row>
    <row r="616" customFormat="false" ht="15" hidden="false" customHeight="false" outlineLevel="0" collapsed="false">
      <c r="A616" s="37" t="str">
        <f aca="false">'Assumptions &amp; Data'!A750</f>
        <v>SM0546</v>
      </c>
      <c r="B616" s="37" t="str">
        <f aca="false">'Assumptions &amp; Data'!B750</f>
        <v>DS046</v>
      </c>
      <c r="C616" s="38" t="n">
        <f aca="false">'Assumptions &amp; Data'!C750</f>
        <v>46082</v>
      </c>
      <c r="D616" s="39" t="str">
        <f aca="false">INDEX('Assumptions &amp; Data'!$B$142:$B$201,MATCH(B616,'Assumptions &amp; Data'!$A$142:$A$201,0))</f>
        <v>Hyderabad</v>
      </c>
      <c r="E616" s="37" t="n">
        <f aca="false">'Assumptions &amp; Data'!D750</f>
        <v>35546</v>
      </c>
      <c r="F616" s="39" t="n">
        <f aca="false">E616*'Assumptions &amp; Data'!E750</f>
        <v>23769610.2</v>
      </c>
      <c r="G616" s="39" t="n">
        <f aca="false">F616*'Assumptions &amp; Data'!F750</f>
        <v>1381014.35262</v>
      </c>
      <c r="H616" s="39" t="n">
        <f aca="false">F616-G616</f>
        <v>22388595.84738</v>
      </c>
      <c r="I616" s="39" t="n">
        <f aca="false">H616*'Assumptions &amp; Data'!G750</f>
        <v>3859793.92408831</v>
      </c>
      <c r="J616" s="39" t="n">
        <f aca="false">E616*'Assumptions &amp; Data'!H750</f>
        <v>432239.36</v>
      </c>
      <c r="K616" s="39" t="n">
        <f aca="false">H616*'Assumptions &amp; Data'!I750</f>
        <v>678374.454175614</v>
      </c>
      <c r="L616" s="39" t="n">
        <f aca="false">H616*'Assumptions &amp; Data'!J750</f>
        <v>613447.526218212</v>
      </c>
      <c r="M616" s="39" t="n">
        <f aca="false">I616+J616+K616-L616</f>
        <v>4356960.21204571</v>
      </c>
      <c r="N616" s="39" t="n">
        <f aca="false">E616*'Assumptions &amp; Data'!N750</f>
        <v>1362122.72</v>
      </c>
      <c r="O616" s="39" t="n">
        <f aca="false">E616*'Assumptions &amp; Data'!O750</f>
        <v>346928.96</v>
      </c>
      <c r="P616" s="39" t="n">
        <f aca="false">H616*'Assumptions &amp; Data'!P750</f>
        <v>219408.239304324</v>
      </c>
      <c r="Q616" s="39" t="n">
        <f aca="false">M616-N616-O616-P616</f>
        <v>2428500.29274139</v>
      </c>
      <c r="R616" s="39" t="n">
        <f aca="false">'Assumptions &amp; Data'!L750*'Assumptions &amp; Data'!M750</f>
        <v>470136</v>
      </c>
      <c r="S616" s="37" t="n">
        <f aca="false">'Assumptions &amp; Data'!Q750</f>
        <v>388500</v>
      </c>
      <c r="T616" s="37" t="n">
        <f aca="false">'Assumptions &amp; Data'!R750</f>
        <v>154570</v>
      </c>
      <c r="U616" s="37" t="n">
        <f aca="false">'Assumptions &amp; Data'!S750</f>
        <v>282084</v>
      </c>
      <c r="V616" s="39" t="n">
        <f aca="false">Q616-R616-S616-T616-U616</f>
        <v>1133210.29274139</v>
      </c>
      <c r="W616" s="39" t="n">
        <f aca="false">DAY(EOMONTH(C616,0))</f>
        <v>31</v>
      </c>
      <c r="X616" s="40" t="n">
        <f aca="false">E616/W616</f>
        <v>1146.64516129032</v>
      </c>
      <c r="Y616" s="39" t="n">
        <f aca="false">R616+S616+T616+U616</f>
        <v>1295290</v>
      </c>
    </row>
    <row r="617" customFormat="false" ht="15" hidden="false" customHeight="false" outlineLevel="0" collapsed="false">
      <c r="A617" s="37" t="str">
        <f aca="false">'Assumptions &amp; Data'!A751</f>
        <v>SM0547</v>
      </c>
      <c r="B617" s="37" t="str">
        <f aca="false">'Assumptions &amp; Data'!B751</f>
        <v>DS046</v>
      </c>
      <c r="C617" s="38" t="n">
        <f aca="false">'Assumptions &amp; Data'!C751</f>
        <v>46113</v>
      </c>
      <c r="D617" s="39" t="str">
        <f aca="false">INDEX('Assumptions &amp; Data'!$B$142:$B$201,MATCH(B617,'Assumptions &amp; Data'!$A$142:$A$201,0))</f>
        <v>Hyderabad</v>
      </c>
      <c r="E617" s="37" t="n">
        <f aca="false">'Assumptions &amp; Data'!D751</f>
        <v>35843</v>
      </c>
      <c r="F617" s="39" t="n">
        <f aca="false">E617*'Assumptions &amp; Data'!E751</f>
        <v>23688638.7</v>
      </c>
      <c r="G617" s="39" t="n">
        <f aca="false">F617*'Assumptions &amp; Data'!F751</f>
        <v>1288661.94528</v>
      </c>
      <c r="H617" s="39" t="n">
        <f aca="false">F617-G617</f>
        <v>22399976.75472</v>
      </c>
      <c r="I617" s="39" t="n">
        <f aca="false">H617*'Assumptions &amp; Data'!G751</f>
        <v>3861755.99251373</v>
      </c>
      <c r="J617" s="39" t="n">
        <f aca="false">E617*'Assumptions &amp; Data'!H751</f>
        <v>439435.18</v>
      </c>
      <c r="K617" s="39" t="n">
        <f aca="false">H617*'Assumptions &amp; Data'!I751</f>
        <v>638399.33750952</v>
      </c>
      <c r="L617" s="39" t="n">
        <f aca="false">H617*'Assumptions &amp; Data'!J751</f>
        <v>640639.335184992</v>
      </c>
      <c r="M617" s="39" t="n">
        <f aca="false">I617+J617+K617-L617</f>
        <v>4298951.17483826</v>
      </c>
      <c r="N617" s="39" t="n">
        <f aca="false">E617*'Assumptions &amp; Data'!N751</f>
        <v>1426192.97</v>
      </c>
      <c r="O617" s="39" t="n">
        <f aca="false">E617*'Assumptions &amp; Data'!O751</f>
        <v>362014.3</v>
      </c>
      <c r="P617" s="39" t="n">
        <f aca="false">H617*'Assumptions &amp; Data'!P751</f>
        <v>217279.774520784</v>
      </c>
      <c r="Q617" s="39" t="n">
        <f aca="false">M617-N617-O617-P617</f>
        <v>2293464.13031747</v>
      </c>
      <c r="R617" s="39" t="n">
        <f aca="false">'Assumptions &amp; Data'!L751*'Assumptions &amp; Data'!M751</f>
        <v>509756</v>
      </c>
      <c r="S617" s="37" t="n">
        <f aca="false">'Assumptions &amp; Data'!Q751</f>
        <v>388500</v>
      </c>
      <c r="T617" s="37" t="n">
        <f aca="false">'Assumptions &amp; Data'!R751</f>
        <v>135523</v>
      </c>
      <c r="U617" s="37" t="n">
        <f aca="false">'Assumptions &amp; Data'!S751</f>
        <v>266770</v>
      </c>
      <c r="V617" s="39" t="n">
        <f aca="false">Q617-R617-S617-T617-U617</f>
        <v>992915.130317472</v>
      </c>
      <c r="W617" s="39" t="n">
        <f aca="false">DAY(EOMONTH(C617,0))</f>
        <v>30</v>
      </c>
      <c r="X617" s="40" t="n">
        <f aca="false">E617/W617</f>
        <v>1194.76666666667</v>
      </c>
      <c r="Y617" s="39" t="n">
        <f aca="false">R617+S617+T617+U617</f>
        <v>1300549</v>
      </c>
    </row>
    <row r="618" customFormat="false" ht="15" hidden="false" customHeight="false" outlineLevel="0" collapsed="false">
      <c r="A618" s="37" t="str">
        <f aca="false">'Assumptions &amp; Data'!A752</f>
        <v>SM0548</v>
      </c>
      <c r="B618" s="37" t="str">
        <f aca="false">'Assumptions &amp; Data'!B752</f>
        <v>DS046</v>
      </c>
      <c r="C618" s="38" t="n">
        <f aca="false">'Assumptions &amp; Data'!C752</f>
        <v>46143</v>
      </c>
      <c r="D618" s="39" t="str">
        <f aca="false">INDEX('Assumptions &amp; Data'!$B$142:$B$201,MATCH(B618,'Assumptions &amp; Data'!$A$142:$A$201,0))</f>
        <v>Hyderabad</v>
      </c>
      <c r="E618" s="37" t="n">
        <f aca="false">'Assumptions &amp; Data'!D752</f>
        <v>34910</v>
      </c>
      <c r="F618" s="39" t="n">
        <f aca="false">E618*'Assumptions &amp; Data'!E752</f>
        <v>23644543</v>
      </c>
      <c r="G618" s="39" t="n">
        <f aca="false">F618*'Assumptions &amp; Data'!F752</f>
        <v>1421037.0343</v>
      </c>
      <c r="H618" s="39" t="n">
        <f aca="false">F618-G618</f>
        <v>22223505.9657</v>
      </c>
      <c r="I618" s="39" t="n">
        <f aca="false">H618*'Assumptions &amp; Data'!G752</f>
        <v>3729104.30104446</v>
      </c>
      <c r="J618" s="39" t="n">
        <f aca="false">E618*'Assumptions &amp; Data'!H752</f>
        <v>420316.4</v>
      </c>
      <c r="K618" s="39" t="n">
        <f aca="false">H618*'Assumptions &amp; Data'!I752</f>
        <v>637814.62121559</v>
      </c>
      <c r="L618" s="39" t="n">
        <f aca="false">H618*'Assumptions &amp; Data'!J752</f>
        <v>657815.77658472</v>
      </c>
      <c r="M618" s="39" t="n">
        <f aca="false">I618+J618+K618-L618</f>
        <v>4129419.54567533</v>
      </c>
      <c r="N618" s="39" t="n">
        <f aca="false">E618*'Assumptions &amp; Data'!N752</f>
        <v>1361140.9</v>
      </c>
      <c r="O618" s="39" t="n">
        <f aca="false">E618*'Assumptions &amp; Data'!O752</f>
        <v>342467.1</v>
      </c>
      <c r="P618" s="39" t="n">
        <f aca="false">H618*'Assumptions &amp; Data'!P752</f>
        <v>215568.00786729</v>
      </c>
      <c r="Q618" s="39" t="n">
        <f aca="false">M618-N618-O618-P618</f>
        <v>2210243.53780804</v>
      </c>
      <c r="R618" s="39" t="n">
        <f aca="false">'Assumptions &amp; Data'!L752*'Assumptions &amp; Data'!M752</f>
        <v>470976</v>
      </c>
      <c r="S618" s="37" t="n">
        <f aca="false">'Assumptions &amp; Data'!Q752</f>
        <v>388500</v>
      </c>
      <c r="T618" s="37" t="n">
        <f aca="false">'Assumptions &amp; Data'!R752</f>
        <v>157249</v>
      </c>
      <c r="U618" s="37" t="n">
        <f aca="false">'Assumptions &amp; Data'!S752</f>
        <v>262584</v>
      </c>
      <c r="V618" s="39" t="n">
        <f aca="false">Q618-R618-S618-T618-U618</f>
        <v>930934.537808039</v>
      </c>
      <c r="W618" s="39" t="n">
        <f aca="false">DAY(EOMONTH(C618,0))</f>
        <v>31</v>
      </c>
      <c r="X618" s="40" t="n">
        <f aca="false">E618/W618</f>
        <v>1126.12903225806</v>
      </c>
      <c r="Y618" s="39" t="n">
        <f aca="false">R618+S618+T618+U618</f>
        <v>1279309</v>
      </c>
    </row>
    <row r="619" customFormat="false" ht="15" hidden="false" customHeight="false" outlineLevel="0" collapsed="false">
      <c r="A619" s="37" t="str">
        <f aca="false">'Assumptions &amp; Data'!A753</f>
        <v>SM0549</v>
      </c>
      <c r="B619" s="37" t="str">
        <f aca="false">'Assumptions &amp; Data'!B753</f>
        <v>DS046</v>
      </c>
      <c r="C619" s="38" t="n">
        <f aca="false">'Assumptions &amp; Data'!C753</f>
        <v>46174</v>
      </c>
      <c r="D619" s="39" t="str">
        <f aca="false">INDEX('Assumptions &amp; Data'!$B$142:$B$201,MATCH(B619,'Assumptions &amp; Data'!$A$142:$A$201,0))</f>
        <v>Hyderabad</v>
      </c>
      <c r="E619" s="37" t="n">
        <f aca="false">'Assumptions &amp; Data'!D753</f>
        <v>38181</v>
      </c>
      <c r="F619" s="39" t="n">
        <f aca="false">E619*'Assumptions &amp; Data'!E753</f>
        <v>25474363.2</v>
      </c>
      <c r="G619" s="39" t="n">
        <f aca="false">F619*'Assumptions &amp; Data'!F753</f>
        <v>1352688.68592</v>
      </c>
      <c r="H619" s="39" t="n">
        <f aca="false">F619-G619</f>
        <v>24121674.51408</v>
      </c>
      <c r="I619" s="39" t="n">
        <f aca="false">H619*'Assumptions &amp; Data'!G753</f>
        <v>4117569.83955346</v>
      </c>
      <c r="J619" s="39" t="n">
        <f aca="false">E619*'Assumptions &amp; Data'!H753</f>
        <v>433354.35</v>
      </c>
      <c r="K619" s="39" t="n">
        <f aca="false">H619*'Assumptions &amp; Data'!I753</f>
        <v>783954.4217076</v>
      </c>
      <c r="L619" s="39" t="n">
        <f aca="false">H619*'Assumptions &amp; Data'!J753</f>
        <v>682643.388748464</v>
      </c>
      <c r="M619" s="39" t="n">
        <f aca="false">I619+J619+K619-L619</f>
        <v>4652235.22251259</v>
      </c>
      <c r="N619" s="39" t="n">
        <f aca="false">E619*'Assumptions &amp; Data'!N753</f>
        <v>1516549.32</v>
      </c>
      <c r="O619" s="39" t="n">
        <f aca="false">E619*'Assumptions &amp; Data'!O753</f>
        <v>375319.23</v>
      </c>
      <c r="P619" s="39" t="n">
        <f aca="false">H619*'Assumptions &amp; Data'!P753</f>
        <v>246041.080043616</v>
      </c>
      <c r="Q619" s="39" t="n">
        <f aca="false">M619-N619-O619-P619</f>
        <v>2514325.59246898</v>
      </c>
      <c r="R619" s="39" t="n">
        <f aca="false">'Assumptions &amp; Data'!L753*'Assumptions &amp; Data'!M753</f>
        <v>569618</v>
      </c>
      <c r="S619" s="37" t="n">
        <f aca="false">'Assumptions &amp; Data'!Q753</f>
        <v>388500</v>
      </c>
      <c r="T619" s="37" t="n">
        <f aca="false">'Assumptions &amp; Data'!R753</f>
        <v>150421</v>
      </c>
      <c r="U619" s="37" t="n">
        <f aca="false">'Assumptions &amp; Data'!S753</f>
        <v>262431</v>
      </c>
      <c r="V619" s="39" t="n">
        <f aca="false">Q619-R619-S619-T619-U619</f>
        <v>1143355.59246898</v>
      </c>
      <c r="W619" s="39" t="n">
        <f aca="false">DAY(EOMONTH(C619,0))</f>
        <v>30</v>
      </c>
      <c r="X619" s="40" t="n">
        <f aca="false">E619/W619</f>
        <v>1272.7</v>
      </c>
      <c r="Y619" s="39" t="n">
        <f aca="false">R619+S619+T619+U619</f>
        <v>1370970</v>
      </c>
    </row>
    <row r="620" customFormat="false" ht="15" hidden="false" customHeight="false" outlineLevel="0" collapsed="false">
      <c r="A620" s="37" t="str">
        <f aca="false">'Assumptions &amp; Data'!A754</f>
        <v>SM0550</v>
      </c>
      <c r="B620" s="37" t="str">
        <f aca="false">'Assumptions &amp; Data'!B754</f>
        <v>DS046</v>
      </c>
      <c r="C620" s="38" t="n">
        <f aca="false">'Assumptions &amp; Data'!C754</f>
        <v>46204</v>
      </c>
      <c r="D620" s="39" t="str">
        <f aca="false">INDEX('Assumptions &amp; Data'!$B$142:$B$201,MATCH(B620,'Assumptions &amp; Data'!$A$142:$A$201,0))</f>
        <v>Hyderabad</v>
      </c>
      <c r="E620" s="37" t="n">
        <f aca="false">'Assumptions &amp; Data'!D754</f>
        <v>37272</v>
      </c>
      <c r="F620" s="39" t="n">
        <f aca="false">E620*'Assumptions &amp; Data'!E754</f>
        <v>24696427.2</v>
      </c>
      <c r="G620" s="39" t="n">
        <f aca="false">F620*'Assumptions &amp; Data'!F754</f>
        <v>1311380.28432</v>
      </c>
      <c r="H620" s="39" t="n">
        <f aca="false">F620-G620</f>
        <v>23385046.91568</v>
      </c>
      <c r="I620" s="39" t="n">
        <f aca="false">H620*'Assumptions &amp; Data'!G754</f>
        <v>4015212.55542226</v>
      </c>
      <c r="J620" s="39" t="n">
        <f aca="false">E620*'Assumptions &amp; Data'!H754</f>
        <v>420428.16</v>
      </c>
      <c r="K620" s="39" t="n">
        <f aca="false">H620*'Assumptions &amp; Data'!I754</f>
        <v>738967.482535488</v>
      </c>
      <c r="L620" s="39" t="n">
        <f aca="false">H620*'Assumptions &amp; Data'!J754</f>
        <v>664135.332405312</v>
      </c>
      <c r="M620" s="39" t="n">
        <f aca="false">I620+J620+K620-L620</f>
        <v>4510472.86555243</v>
      </c>
      <c r="N620" s="39" t="n">
        <f aca="false">E620*'Assumptions &amp; Data'!N754</f>
        <v>1428635.76</v>
      </c>
      <c r="O620" s="39" t="n">
        <f aca="false">E620*'Assumptions &amp; Data'!O754</f>
        <v>374583.6</v>
      </c>
      <c r="P620" s="39" t="n">
        <f aca="false">H620*'Assumptions &amp; Data'!P754</f>
        <v>229173.459773664</v>
      </c>
      <c r="Q620" s="39" t="n">
        <f aca="false">M620-N620-O620-P620</f>
        <v>2478080.04577877</v>
      </c>
      <c r="R620" s="39" t="n">
        <f aca="false">'Assumptions &amp; Data'!L754*'Assumptions &amp; Data'!M754</f>
        <v>530820</v>
      </c>
      <c r="S620" s="37" t="n">
        <f aca="false">'Assumptions &amp; Data'!Q754</f>
        <v>388500</v>
      </c>
      <c r="T620" s="37" t="n">
        <f aca="false">'Assumptions &amp; Data'!R754</f>
        <v>144488</v>
      </c>
      <c r="U620" s="37" t="n">
        <f aca="false">'Assumptions &amp; Data'!S754</f>
        <v>234865</v>
      </c>
      <c r="V620" s="39" t="n">
        <f aca="false">Q620-R620-S620-T620-U620</f>
        <v>1179407.04577877</v>
      </c>
      <c r="W620" s="39" t="n">
        <f aca="false">DAY(EOMONTH(C620,0))</f>
        <v>31</v>
      </c>
      <c r="X620" s="40" t="n">
        <f aca="false">E620/W620</f>
        <v>1202.32258064516</v>
      </c>
      <c r="Y620" s="39" t="n">
        <f aca="false">R620+S620+T620+U620</f>
        <v>1298673</v>
      </c>
    </row>
    <row r="621" customFormat="false" ht="15" hidden="false" customHeight="false" outlineLevel="0" collapsed="false">
      <c r="A621" s="37" t="str">
        <f aca="false">'Assumptions &amp; Data'!A755</f>
        <v>SM0551</v>
      </c>
      <c r="B621" s="37" t="str">
        <f aca="false">'Assumptions &amp; Data'!B755</f>
        <v>DS046</v>
      </c>
      <c r="C621" s="38" t="n">
        <f aca="false">'Assumptions &amp; Data'!C755</f>
        <v>46235</v>
      </c>
      <c r="D621" s="39" t="str">
        <f aca="false">INDEX('Assumptions &amp; Data'!$B$142:$B$201,MATCH(B621,'Assumptions &amp; Data'!$A$142:$A$201,0))</f>
        <v>Hyderabad</v>
      </c>
      <c r="E621" s="37" t="n">
        <f aca="false">'Assumptions &amp; Data'!D755</f>
        <v>38067</v>
      </c>
      <c r="F621" s="39" t="n">
        <f aca="false">E621*'Assumptions &amp; Data'!E755</f>
        <v>24785423.7</v>
      </c>
      <c r="G621" s="39" t="n">
        <f aca="false">F621*'Assumptions &amp; Data'!F755</f>
        <v>1281406.40529</v>
      </c>
      <c r="H621" s="39" t="n">
        <f aca="false">F621-G621</f>
        <v>23504017.29471</v>
      </c>
      <c r="I621" s="39" t="n">
        <f aca="false">H621*'Assumptions &amp; Data'!G755</f>
        <v>4002734.14528911</v>
      </c>
      <c r="J621" s="39" t="n">
        <f aca="false">E621*'Assumptions &amp; Data'!H755</f>
        <v>466320.75</v>
      </c>
      <c r="K621" s="39" t="n">
        <f aca="false">H621*'Assumptions &amp; Data'!I755</f>
        <v>726274.134406539</v>
      </c>
      <c r="L621" s="39" t="n">
        <f aca="false">H621*'Assumptions &amp; Data'!J755</f>
        <v>667514.091169764</v>
      </c>
      <c r="M621" s="39" t="n">
        <f aca="false">I621+J621+K621-L621</f>
        <v>4527814.93852589</v>
      </c>
      <c r="N621" s="39" t="n">
        <f aca="false">E621*'Assumptions &amp; Data'!N755</f>
        <v>1473192.9</v>
      </c>
      <c r="O621" s="39" t="n">
        <f aca="false">E621*'Assumptions &amp; Data'!O755</f>
        <v>379147.32</v>
      </c>
      <c r="P621" s="39" t="n">
        <f aca="false">H621*'Assumptions &amp; Data'!P755</f>
        <v>237390.574676571</v>
      </c>
      <c r="Q621" s="39" t="n">
        <f aca="false">M621-N621-O621-P621</f>
        <v>2438084.14384932</v>
      </c>
      <c r="R621" s="39" t="n">
        <f aca="false">'Assumptions &amp; Data'!L755*'Assumptions &amp; Data'!M755</f>
        <v>511602</v>
      </c>
      <c r="S621" s="37" t="n">
        <f aca="false">'Assumptions &amp; Data'!Q755</f>
        <v>388500</v>
      </c>
      <c r="T621" s="37" t="n">
        <f aca="false">'Assumptions &amp; Data'!R755</f>
        <v>151395</v>
      </c>
      <c r="U621" s="37" t="n">
        <f aca="false">'Assumptions &amp; Data'!S755</f>
        <v>211394</v>
      </c>
      <c r="V621" s="39" t="n">
        <f aca="false">Q621-R621-S621-T621-U621</f>
        <v>1175193.14384932</v>
      </c>
      <c r="W621" s="39" t="n">
        <f aca="false">DAY(EOMONTH(C621,0))</f>
        <v>31</v>
      </c>
      <c r="X621" s="40" t="n">
        <f aca="false">E621/W621</f>
        <v>1227.96774193548</v>
      </c>
      <c r="Y621" s="39" t="n">
        <f aca="false">R621+S621+T621+U621</f>
        <v>1262891</v>
      </c>
    </row>
    <row r="622" customFormat="false" ht="15" hidden="false" customHeight="false" outlineLevel="0" collapsed="false">
      <c r="A622" s="37" t="str">
        <f aca="false">'Assumptions &amp; Data'!A756</f>
        <v>SM0552</v>
      </c>
      <c r="B622" s="37" t="str">
        <f aca="false">'Assumptions &amp; Data'!B756</f>
        <v>DS046</v>
      </c>
      <c r="C622" s="38" t="n">
        <f aca="false">'Assumptions &amp; Data'!C756</f>
        <v>46266</v>
      </c>
      <c r="D622" s="39" t="str">
        <f aca="false">INDEX('Assumptions &amp; Data'!$B$142:$B$201,MATCH(B622,'Assumptions &amp; Data'!$A$142:$A$201,0))</f>
        <v>Hyderabad</v>
      </c>
      <c r="E622" s="37" t="n">
        <f aca="false">'Assumptions &amp; Data'!D756</f>
        <v>37916</v>
      </c>
      <c r="F622" s="39" t="n">
        <f aca="false">E622*'Assumptions &amp; Data'!E756</f>
        <v>25327888</v>
      </c>
      <c r="G622" s="39" t="n">
        <f aca="false">F622*'Assumptions &amp; Data'!F756</f>
        <v>1309451.8096</v>
      </c>
      <c r="H622" s="39" t="n">
        <f aca="false">F622-G622</f>
        <v>24018436.1904</v>
      </c>
      <c r="I622" s="39" t="n">
        <f aca="false">H622*'Assumptions &amp; Data'!G756</f>
        <v>4049508.34170144</v>
      </c>
      <c r="J622" s="39" t="n">
        <f aca="false">E622*'Assumptions &amp; Data'!H756</f>
        <v>481154.04</v>
      </c>
      <c r="K622" s="39" t="n">
        <f aca="false">H622*'Assumptions &amp; Data'!I756</f>
        <v>749375.20914048</v>
      </c>
      <c r="L622" s="39" t="n">
        <f aca="false">H622*'Assumptions &amp; Data'!J756</f>
        <v>691730.96228352</v>
      </c>
      <c r="M622" s="39" t="n">
        <f aca="false">I622+J622+K622-L622</f>
        <v>4588306.6285584</v>
      </c>
      <c r="N622" s="39" t="n">
        <f aca="false">E622*'Assumptions &amp; Data'!N756</f>
        <v>1471899.12</v>
      </c>
      <c r="O622" s="39" t="n">
        <f aca="false">E622*'Assumptions &amp; Data'!O756</f>
        <v>373093.44</v>
      </c>
      <c r="P622" s="39" t="n">
        <f aca="false">H622*'Assumptions &amp; Data'!P756</f>
        <v>242586.20552304</v>
      </c>
      <c r="Q622" s="39" t="n">
        <f aca="false">M622-N622-O622-P622</f>
        <v>2500727.86303536</v>
      </c>
      <c r="R622" s="39" t="n">
        <f aca="false">'Assumptions &amp; Data'!L756*'Assumptions &amp; Data'!M756</f>
        <v>512070</v>
      </c>
      <c r="S622" s="37" t="n">
        <f aca="false">'Assumptions &amp; Data'!Q756</f>
        <v>388500</v>
      </c>
      <c r="T622" s="37" t="n">
        <f aca="false">'Assumptions &amp; Data'!R756</f>
        <v>147235</v>
      </c>
      <c r="U622" s="37" t="n">
        <f aca="false">'Assumptions &amp; Data'!S756</f>
        <v>226304</v>
      </c>
      <c r="V622" s="39" t="n">
        <f aca="false">Q622-R622-S622-T622-U622</f>
        <v>1226618.86303536</v>
      </c>
      <c r="W622" s="39" t="n">
        <f aca="false">DAY(EOMONTH(C622,0))</f>
        <v>30</v>
      </c>
      <c r="X622" s="40" t="n">
        <f aca="false">E622/W622</f>
        <v>1263.86666666667</v>
      </c>
      <c r="Y622" s="39" t="n">
        <f aca="false">R622+S622+T622+U622</f>
        <v>1274109</v>
      </c>
    </row>
    <row r="623" customFormat="false" ht="15" hidden="false" customHeight="false" outlineLevel="0" collapsed="false">
      <c r="A623" s="37" t="str">
        <f aca="false">'Assumptions &amp; Data'!A757</f>
        <v>SM0553</v>
      </c>
      <c r="B623" s="37" t="str">
        <f aca="false">'Assumptions &amp; Data'!B757</f>
        <v>DS047</v>
      </c>
      <c r="C623" s="38" t="n">
        <f aca="false">'Assumptions &amp; Data'!C757</f>
        <v>45931</v>
      </c>
      <c r="D623" s="39" t="str">
        <f aca="false">INDEX('Assumptions &amp; Data'!$B$142:$B$201,MATCH(B623,'Assumptions &amp; Data'!$A$142:$A$201,0))</f>
        <v>Pune</v>
      </c>
      <c r="E623" s="37" t="n">
        <f aca="false">'Assumptions &amp; Data'!D757</f>
        <v>35745</v>
      </c>
      <c r="F623" s="39" t="n">
        <f aca="false">E623*'Assumptions &amp; Data'!E757</f>
        <v>20542651.5</v>
      </c>
      <c r="G623" s="39" t="n">
        <f aca="false">F623*'Assumptions &amp; Data'!F757</f>
        <v>1405117.3626</v>
      </c>
      <c r="H623" s="39" t="n">
        <f aca="false">F623-G623</f>
        <v>19137534.1374</v>
      </c>
      <c r="I623" s="39" t="n">
        <f aca="false">H623*'Assumptions &amp; Data'!G757</f>
        <v>3226588.25556564</v>
      </c>
      <c r="J623" s="39" t="n">
        <f aca="false">E623*'Assumptions &amp; Data'!H757</f>
        <v>449314.65</v>
      </c>
      <c r="K623" s="39" t="n">
        <f aca="false">H623*'Assumptions &amp; Data'!I757</f>
        <v>553074.73657086</v>
      </c>
      <c r="L623" s="39" t="n">
        <f aca="false">H623*'Assumptions &amp; Data'!J757</f>
        <v>359785.64178312</v>
      </c>
      <c r="M623" s="39" t="n">
        <f aca="false">I623+J623+K623-L623</f>
        <v>3869192.00035338</v>
      </c>
      <c r="N623" s="39" t="n">
        <f aca="false">E623*'Assumptions &amp; Data'!N757</f>
        <v>1310411.7</v>
      </c>
      <c r="O623" s="39" t="n">
        <f aca="false">E623*'Assumptions &amp; Data'!O757</f>
        <v>357807.45</v>
      </c>
      <c r="P623" s="39" t="n">
        <f aca="false">H623*'Assumptions &amp; Data'!P757</f>
        <v>181806.5743053</v>
      </c>
      <c r="Q623" s="39" t="n">
        <f aca="false">M623-N623-O623-P623</f>
        <v>2019166.27604808</v>
      </c>
      <c r="R623" s="39" t="n">
        <f aca="false">'Assumptions &amp; Data'!L757*'Assumptions &amp; Data'!M757</f>
        <v>507000</v>
      </c>
      <c r="S623" s="37" t="n">
        <f aca="false">'Assumptions &amp; Data'!Q757</f>
        <v>760000</v>
      </c>
      <c r="T623" s="37" t="n">
        <f aca="false">'Assumptions &amp; Data'!R757</f>
        <v>193497</v>
      </c>
      <c r="U623" s="37" t="n">
        <f aca="false">'Assumptions &amp; Data'!S757</f>
        <v>170728</v>
      </c>
      <c r="V623" s="39" t="n">
        <f aca="false">Q623-R623-S623-T623-U623</f>
        <v>387941.27604808</v>
      </c>
      <c r="W623" s="39" t="n">
        <f aca="false">DAY(EOMONTH(C623,0))</f>
        <v>31</v>
      </c>
      <c r="X623" s="40" t="n">
        <f aca="false">E623/W623</f>
        <v>1153.06451612903</v>
      </c>
      <c r="Y623" s="39" t="n">
        <f aca="false">R623+S623+T623+U623</f>
        <v>1631225</v>
      </c>
    </row>
    <row r="624" customFormat="false" ht="15" hidden="false" customHeight="false" outlineLevel="0" collapsed="false">
      <c r="A624" s="37" t="str">
        <f aca="false">'Assumptions &amp; Data'!A758</f>
        <v>SM0554</v>
      </c>
      <c r="B624" s="37" t="str">
        <f aca="false">'Assumptions &amp; Data'!B758</f>
        <v>DS047</v>
      </c>
      <c r="C624" s="38" t="n">
        <f aca="false">'Assumptions &amp; Data'!C758</f>
        <v>45962</v>
      </c>
      <c r="D624" s="39" t="str">
        <f aca="false">INDEX('Assumptions &amp; Data'!$B$142:$B$201,MATCH(B624,'Assumptions &amp; Data'!$A$142:$A$201,0))</f>
        <v>Pune</v>
      </c>
      <c r="E624" s="37" t="n">
        <f aca="false">'Assumptions &amp; Data'!D758</f>
        <v>38558</v>
      </c>
      <c r="F624" s="39" t="n">
        <f aca="false">E624*'Assumptions &amp; Data'!E758</f>
        <v>22097589.8</v>
      </c>
      <c r="G624" s="39" t="n">
        <f aca="false">F624*'Assumptions &amp; Data'!F758</f>
        <v>1434133.57802</v>
      </c>
      <c r="H624" s="39" t="n">
        <f aca="false">F624-G624</f>
        <v>20663456.22198</v>
      </c>
      <c r="I624" s="39" t="n">
        <f aca="false">H624*'Assumptions &amp; Data'!G758</f>
        <v>3473526.99091484</v>
      </c>
      <c r="J624" s="39" t="n">
        <f aca="false">E624*'Assumptions &amp; Data'!H758</f>
        <v>473492.24</v>
      </c>
      <c r="K624" s="39" t="n">
        <f aca="false">H624*'Assumptions &amp; Data'!I758</f>
        <v>667429.635969954</v>
      </c>
      <c r="L624" s="39" t="n">
        <f aca="false">H624*'Assumptions &amp; Data'!J758</f>
        <v>365743.175129046</v>
      </c>
      <c r="M624" s="39" t="n">
        <f aca="false">I624+J624+K624-L624</f>
        <v>4248705.69175575</v>
      </c>
      <c r="N624" s="39" t="n">
        <f aca="false">E624*'Assumptions &amp; Data'!N758</f>
        <v>1422404.62</v>
      </c>
      <c r="O624" s="39" t="n">
        <f aca="false">E624*'Assumptions &amp; Data'!O758</f>
        <v>369771.22</v>
      </c>
      <c r="P624" s="39" t="n">
        <f aca="false">H624*'Assumptions &amp; Data'!P758</f>
        <v>212833.599086394</v>
      </c>
      <c r="Q624" s="39" t="n">
        <f aca="false">M624-N624-O624-P624</f>
        <v>2243696.25266935</v>
      </c>
      <c r="R624" s="39" t="n">
        <f aca="false">'Assumptions &amp; Data'!L758*'Assumptions &amp; Data'!M758</f>
        <v>566022</v>
      </c>
      <c r="S624" s="37" t="n">
        <f aca="false">'Assumptions &amp; Data'!Q758</f>
        <v>760000</v>
      </c>
      <c r="T624" s="37" t="n">
        <f aca="false">'Assumptions &amp; Data'!R758</f>
        <v>200862</v>
      </c>
      <c r="U624" s="37" t="n">
        <f aca="false">'Assumptions &amp; Data'!S758</f>
        <v>198725</v>
      </c>
      <c r="V624" s="39" t="n">
        <f aca="false">Q624-R624-S624-T624-U624</f>
        <v>518087.252669353</v>
      </c>
      <c r="W624" s="39" t="n">
        <f aca="false">DAY(EOMONTH(C624,0))</f>
        <v>30</v>
      </c>
      <c r="X624" s="40" t="n">
        <f aca="false">E624/W624</f>
        <v>1285.26666666667</v>
      </c>
      <c r="Y624" s="39" t="n">
        <f aca="false">R624+S624+T624+U624</f>
        <v>1725609</v>
      </c>
    </row>
    <row r="625" customFormat="false" ht="15" hidden="false" customHeight="false" outlineLevel="0" collapsed="false">
      <c r="A625" s="37" t="str">
        <f aca="false">'Assumptions &amp; Data'!A759</f>
        <v>SM0555</v>
      </c>
      <c r="B625" s="37" t="str">
        <f aca="false">'Assumptions &amp; Data'!B759</f>
        <v>DS047</v>
      </c>
      <c r="C625" s="38" t="n">
        <f aca="false">'Assumptions &amp; Data'!C759</f>
        <v>45992</v>
      </c>
      <c r="D625" s="39" t="str">
        <f aca="false">INDEX('Assumptions &amp; Data'!$B$142:$B$201,MATCH(B625,'Assumptions &amp; Data'!$A$142:$A$201,0))</f>
        <v>Pune</v>
      </c>
      <c r="E625" s="37" t="n">
        <f aca="false">'Assumptions &amp; Data'!D759</f>
        <v>38132</v>
      </c>
      <c r="F625" s="39" t="n">
        <f aca="false">E625*'Assumptions &amp; Data'!E759</f>
        <v>21487382</v>
      </c>
      <c r="G625" s="39" t="n">
        <f aca="false">F625*'Assumptions &amp; Data'!F759</f>
        <v>1420315.9502</v>
      </c>
      <c r="H625" s="39" t="n">
        <f aca="false">F625-G625</f>
        <v>20067066.0498</v>
      </c>
      <c r="I625" s="39" t="n">
        <f aca="false">H625*'Assumptions &amp; Data'!G759</f>
        <v>3403374.40204608</v>
      </c>
      <c r="J625" s="39" t="n">
        <f aca="false">E625*'Assumptions &amp; Data'!H759</f>
        <v>496859.96</v>
      </c>
      <c r="K625" s="39" t="n">
        <f aca="false">H625*'Assumptions &amp; Data'!I759</f>
        <v>638132.70038364</v>
      </c>
      <c r="L625" s="39" t="n">
        <f aca="false">H625*'Assumptions &amp; Data'!J759</f>
        <v>337126.70963664</v>
      </c>
      <c r="M625" s="39" t="n">
        <f aca="false">I625+J625+K625-L625</f>
        <v>4201240.35279308</v>
      </c>
      <c r="N625" s="39" t="n">
        <f aca="false">E625*'Assumptions &amp; Data'!N759</f>
        <v>1363219</v>
      </c>
      <c r="O625" s="39" t="n">
        <f aca="false">E625*'Assumptions &amp; Data'!O759</f>
        <v>371024.36</v>
      </c>
      <c r="P625" s="39" t="n">
        <f aca="false">H625*'Assumptions &amp; Data'!P759</f>
        <v>206690.78031294</v>
      </c>
      <c r="Q625" s="39" t="n">
        <f aca="false">M625-N625-O625-P625</f>
        <v>2260306.21248014</v>
      </c>
      <c r="R625" s="39" t="n">
        <f aca="false">'Assumptions &amp; Data'!L759*'Assumptions &amp; Data'!M759</f>
        <v>546980</v>
      </c>
      <c r="S625" s="37" t="n">
        <f aca="false">'Assumptions &amp; Data'!Q759</f>
        <v>760000</v>
      </c>
      <c r="T625" s="37" t="n">
        <f aca="false">'Assumptions &amp; Data'!R759</f>
        <v>186486</v>
      </c>
      <c r="U625" s="37" t="n">
        <f aca="false">'Assumptions &amp; Data'!S759</f>
        <v>162081</v>
      </c>
      <c r="V625" s="39" t="n">
        <f aca="false">Q625-R625-S625-T625-U625</f>
        <v>604759.212480141</v>
      </c>
      <c r="W625" s="39" t="n">
        <f aca="false">DAY(EOMONTH(C625,0))</f>
        <v>31</v>
      </c>
      <c r="X625" s="40" t="n">
        <f aca="false">E625/W625</f>
        <v>1230.06451612903</v>
      </c>
      <c r="Y625" s="39" t="n">
        <f aca="false">R625+S625+T625+U625</f>
        <v>1655547</v>
      </c>
    </row>
    <row r="626" customFormat="false" ht="15" hidden="false" customHeight="false" outlineLevel="0" collapsed="false">
      <c r="A626" s="37" t="str">
        <f aca="false">'Assumptions &amp; Data'!A760</f>
        <v>SM0556</v>
      </c>
      <c r="B626" s="37" t="str">
        <f aca="false">'Assumptions &amp; Data'!B760</f>
        <v>DS047</v>
      </c>
      <c r="C626" s="38" t="n">
        <f aca="false">'Assumptions &amp; Data'!C760</f>
        <v>46023</v>
      </c>
      <c r="D626" s="39" t="str">
        <f aca="false">INDEX('Assumptions &amp; Data'!$B$142:$B$201,MATCH(B626,'Assumptions &amp; Data'!$A$142:$A$201,0))</f>
        <v>Pune</v>
      </c>
      <c r="E626" s="37" t="n">
        <f aca="false">'Assumptions &amp; Data'!D760</f>
        <v>37955</v>
      </c>
      <c r="F626" s="39" t="n">
        <f aca="false">E626*'Assumptions &amp; Data'!E760</f>
        <v>22097401</v>
      </c>
      <c r="G626" s="39" t="n">
        <f aca="false">F626*'Assumptions &amp; Data'!F760</f>
        <v>1447379.7655</v>
      </c>
      <c r="H626" s="39" t="n">
        <f aca="false">F626-G626</f>
        <v>20650021.2345</v>
      </c>
      <c r="I626" s="39" t="n">
        <f aca="false">H626*'Assumptions &amp; Data'!G760</f>
        <v>3485723.5843836</v>
      </c>
      <c r="J626" s="39" t="n">
        <f aca="false">E626*'Assumptions &amp; Data'!H760</f>
        <v>445971.25</v>
      </c>
      <c r="K626" s="39" t="n">
        <f aca="false">H626*'Assumptions &amp; Data'!I760</f>
        <v>642215.66039295</v>
      </c>
      <c r="L626" s="39" t="n">
        <f aca="false">H626*'Assumptions &amp; Data'!J760</f>
        <v>369635.38009755</v>
      </c>
      <c r="M626" s="39" t="n">
        <f aca="false">I626+J626+K626-L626</f>
        <v>4204275.114679</v>
      </c>
      <c r="N626" s="39" t="n">
        <f aca="false">E626*'Assumptions &amp; Data'!N760</f>
        <v>1405094.1</v>
      </c>
      <c r="O626" s="39" t="n">
        <f aca="false">E626*'Assumptions &amp; Data'!O760</f>
        <v>369302.15</v>
      </c>
      <c r="P626" s="39" t="n">
        <f aca="false">H626*'Assumptions &amp; Data'!P760</f>
        <v>204435.21022155</v>
      </c>
      <c r="Q626" s="39" t="n">
        <f aca="false">M626-N626-O626-P626</f>
        <v>2225443.65445745</v>
      </c>
      <c r="R626" s="39" t="n">
        <f aca="false">'Assumptions &amp; Data'!L760*'Assumptions &amp; Data'!M760</f>
        <v>547484</v>
      </c>
      <c r="S626" s="37" t="n">
        <f aca="false">'Assumptions &amp; Data'!Q760</f>
        <v>760000</v>
      </c>
      <c r="T626" s="37" t="n">
        <f aca="false">'Assumptions &amp; Data'!R760</f>
        <v>191124</v>
      </c>
      <c r="U626" s="37" t="n">
        <f aca="false">'Assumptions &amp; Data'!S760</f>
        <v>176577</v>
      </c>
      <c r="V626" s="39" t="n">
        <f aca="false">Q626-R626-S626-T626-U626</f>
        <v>550258.654457449</v>
      </c>
      <c r="W626" s="39" t="n">
        <f aca="false">DAY(EOMONTH(C626,0))</f>
        <v>31</v>
      </c>
      <c r="X626" s="40" t="n">
        <f aca="false">E626/W626</f>
        <v>1224.35483870968</v>
      </c>
      <c r="Y626" s="39" t="n">
        <f aca="false">R626+S626+T626+U626</f>
        <v>1675185</v>
      </c>
    </row>
    <row r="627" customFormat="false" ht="15" hidden="false" customHeight="false" outlineLevel="0" collapsed="false">
      <c r="A627" s="37" t="str">
        <f aca="false">'Assumptions &amp; Data'!A761</f>
        <v>SM0557</v>
      </c>
      <c r="B627" s="37" t="str">
        <f aca="false">'Assumptions &amp; Data'!B761</f>
        <v>DS047</v>
      </c>
      <c r="C627" s="38" t="n">
        <f aca="false">'Assumptions &amp; Data'!C761</f>
        <v>46054</v>
      </c>
      <c r="D627" s="39" t="str">
        <f aca="false">INDEX('Assumptions &amp; Data'!$B$142:$B$201,MATCH(B627,'Assumptions &amp; Data'!$A$142:$A$201,0))</f>
        <v>Pune</v>
      </c>
      <c r="E627" s="37" t="n">
        <f aca="false">'Assumptions &amp; Data'!D761</f>
        <v>33638</v>
      </c>
      <c r="F627" s="39" t="n">
        <f aca="false">E627*'Assumptions &amp; Data'!E761</f>
        <v>19244299.8</v>
      </c>
      <c r="G627" s="39" t="n">
        <f aca="false">F627*'Assumptions &amp; Data'!F761</f>
        <v>1279745.9367</v>
      </c>
      <c r="H627" s="39" t="n">
        <f aca="false">F627-G627</f>
        <v>17964553.8633</v>
      </c>
      <c r="I627" s="39" t="n">
        <f aca="false">H627*'Assumptions &amp; Data'!G761</f>
        <v>3086310.35371494</v>
      </c>
      <c r="J627" s="39" t="n">
        <f aca="false">E627*'Assumptions &amp; Data'!H761</f>
        <v>410383.6</v>
      </c>
      <c r="K627" s="39" t="n">
        <f aca="false">H627*'Assumptions &amp; Data'!I761</f>
        <v>560494.08053496</v>
      </c>
      <c r="L627" s="39" t="n">
        <f aca="false">H627*'Assumptions &amp; Data'!J761</f>
        <v>314379.69260775</v>
      </c>
      <c r="M627" s="39" t="n">
        <f aca="false">I627+J627+K627-L627</f>
        <v>3742808.34164215</v>
      </c>
      <c r="N627" s="39" t="n">
        <f aca="false">E627*'Assumptions &amp; Data'!N761</f>
        <v>1228459.76</v>
      </c>
      <c r="O627" s="39" t="n">
        <f aca="false">E627*'Assumptions &amp; Data'!O761</f>
        <v>331670.68</v>
      </c>
      <c r="P627" s="39" t="n">
        <f aca="false">H627*'Assumptions &amp; Data'!P761</f>
        <v>172459.71708768</v>
      </c>
      <c r="Q627" s="39" t="n">
        <f aca="false">M627-N627-O627-P627</f>
        <v>2010218.18455447</v>
      </c>
      <c r="R627" s="39" t="n">
        <f aca="false">'Assumptions &amp; Data'!L761*'Assumptions &amp; Data'!M761</f>
        <v>528417</v>
      </c>
      <c r="S627" s="37" t="n">
        <f aca="false">'Assumptions &amp; Data'!Q761</f>
        <v>760000</v>
      </c>
      <c r="T627" s="37" t="n">
        <f aca="false">'Assumptions &amp; Data'!R761</f>
        <v>180748</v>
      </c>
      <c r="U627" s="37" t="n">
        <f aca="false">'Assumptions &amp; Data'!S761</f>
        <v>140642</v>
      </c>
      <c r="V627" s="39" t="n">
        <f aca="false">Q627-R627-S627-T627-U627</f>
        <v>400411.18455447</v>
      </c>
      <c r="W627" s="39" t="n">
        <f aca="false">DAY(EOMONTH(C627,0))</f>
        <v>28</v>
      </c>
      <c r="X627" s="40" t="n">
        <f aca="false">E627/W627</f>
        <v>1201.35714285714</v>
      </c>
      <c r="Y627" s="39" t="n">
        <f aca="false">R627+S627+T627+U627</f>
        <v>1609807</v>
      </c>
    </row>
    <row r="628" customFormat="false" ht="15" hidden="false" customHeight="false" outlineLevel="0" collapsed="false">
      <c r="A628" s="37" t="str">
        <f aca="false">'Assumptions &amp; Data'!A762</f>
        <v>SM0558</v>
      </c>
      <c r="B628" s="37" t="str">
        <f aca="false">'Assumptions &amp; Data'!B762</f>
        <v>DS047</v>
      </c>
      <c r="C628" s="38" t="n">
        <f aca="false">'Assumptions &amp; Data'!C762</f>
        <v>46082</v>
      </c>
      <c r="D628" s="39" t="str">
        <f aca="false">INDEX('Assumptions &amp; Data'!$B$142:$B$201,MATCH(B628,'Assumptions &amp; Data'!$A$142:$A$201,0))</f>
        <v>Pune</v>
      </c>
      <c r="E628" s="37" t="n">
        <f aca="false">'Assumptions &amp; Data'!D762</f>
        <v>40469</v>
      </c>
      <c r="F628" s="39" t="n">
        <f aca="false">E628*'Assumptions &amp; Data'!E762</f>
        <v>23204924.6</v>
      </c>
      <c r="G628" s="39" t="n">
        <f aca="false">F628*'Assumptions &amp; Data'!F762</f>
        <v>1540806.99344</v>
      </c>
      <c r="H628" s="39" t="n">
        <f aca="false">F628-G628</f>
        <v>21664117.60656</v>
      </c>
      <c r="I628" s="39" t="n">
        <f aca="false">H628*'Assumptions &amp; Data'!G762</f>
        <v>3604909.16973158</v>
      </c>
      <c r="J628" s="39" t="n">
        <f aca="false">E628*'Assumptions &amp; Data'!H762</f>
        <v>511528.16</v>
      </c>
      <c r="K628" s="39" t="n">
        <f aca="false">H628*'Assumptions &amp; Data'!I762</f>
        <v>740912.822144352</v>
      </c>
      <c r="L628" s="39" t="n">
        <f aca="false">H628*'Assumptions &amp; Data'!J762</f>
        <v>392120.528678736</v>
      </c>
      <c r="M628" s="39" t="n">
        <f aca="false">I628+J628+K628-L628</f>
        <v>4465229.6231972</v>
      </c>
      <c r="N628" s="39" t="n">
        <f aca="false">E628*'Assumptions &amp; Data'!N762</f>
        <v>1498567.07</v>
      </c>
      <c r="O628" s="39" t="n">
        <f aca="false">E628*'Assumptions &amp; Data'!O762</f>
        <v>398619.65</v>
      </c>
      <c r="P628" s="39" t="n">
        <f aca="false">H628*'Assumptions &amp; Data'!P762</f>
        <v>212308.352544288</v>
      </c>
      <c r="Q628" s="39" t="n">
        <f aca="false">M628-N628-O628-P628</f>
        <v>2355734.55065291</v>
      </c>
      <c r="R628" s="39" t="n">
        <f aca="false">'Assumptions &amp; Data'!L762*'Assumptions &amp; Data'!M762</f>
        <v>587670</v>
      </c>
      <c r="S628" s="37" t="n">
        <f aca="false">'Assumptions &amp; Data'!Q762</f>
        <v>760000</v>
      </c>
      <c r="T628" s="37" t="n">
        <f aca="false">'Assumptions &amp; Data'!R762</f>
        <v>186090</v>
      </c>
      <c r="U628" s="37" t="n">
        <f aca="false">'Assumptions &amp; Data'!S762</f>
        <v>192182</v>
      </c>
      <c r="V628" s="39" t="n">
        <f aca="false">Q628-R628-S628-T628-U628</f>
        <v>629792.550652912</v>
      </c>
      <c r="W628" s="39" t="n">
        <f aca="false">DAY(EOMONTH(C628,0))</f>
        <v>31</v>
      </c>
      <c r="X628" s="40" t="n">
        <f aca="false">E628/W628</f>
        <v>1305.45161290323</v>
      </c>
      <c r="Y628" s="39" t="n">
        <f aca="false">R628+S628+T628+U628</f>
        <v>1725942</v>
      </c>
    </row>
    <row r="629" customFormat="false" ht="15" hidden="false" customHeight="false" outlineLevel="0" collapsed="false">
      <c r="A629" s="37" t="str">
        <f aca="false">'Assumptions &amp; Data'!A763</f>
        <v>SM0559</v>
      </c>
      <c r="B629" s="37" t="str">
        <f aca="false">'Assumptions &amp; Data'!B763</f>
        <v>DS047</v>
      </c>
      <c r="C629" s="38" t="n">
        <f aca="false">'Assumptions &amp; Data'!C763</f>
        <v>46113</v>
      </c>
      <c r="D629" s="39" t="str">
        <f aca="false">INDEX('Assumptions &amp; Data'!$B$142:$B$201,MATCH(B629,'Assumptions &amp; Data'!$A$142:$A$201,0))</f>
        <v>Pune</v>
      </c>
      <c r="E629" s="37" t="n">
        <f aca="false">'Assumptions &amp; Data'!D763</f>
        <v>38634</v>
      </c>
      <c r="F629" s="39" t="n">
        <f aca="false">E629*'Assumptions &amp; Data'!E763</f>
        <v>22287954.6</v>
      </c>
      <c r="G629" s="39" t="n">
        <f aca="false">F629*'Assumptions &amp; Data'!F763</f>
        <v>1482148.9809</v>
      </c>
      <c r="H629" s="39" t="n">
        <f aca="false">F629-G629</f>
        <v>20805805.6191</v>
      </c>
      <c r="I629" s="39" t="n">
        <f aca="false">H629*'Assumptions &amp; Data'!G763</f>
        <v>3495375.3440088</v>
      </c>
      <c r="J629" s="39" t="n">
        <f aca="false">E629*'Assumptions &amp; Data'!H763</f>
        <v>484084.02</v>
      </c>
      <c r="K629" s="39" t="n">
        <f aca="false">H629*'Assumptions &amp; Data'!I763</f>
        <v>657463.45756356</v>
      </c>
      <c r="L629" s="39" t="n">
        <f aca="false">H629*'Assumptions &amp; Data'!J763</f>
        <v>372423.92058189</v>
      </c>
      <c r="M629" s="39" t="n">
        <f aca="false">I629+J629+K629-L629</f>
        <v>4264498.90099047</v>
      </c>
      <c r="N629" s="39" t="n">
        <f aca="false">E629*'Assumptions &amp; Data'!N763</f>
        <v>1388892.3</v>
      </c>
      <c r="O629" s="39" t="n">
        <f aca="false">E629*'Assumptions &amp; Data'!O763</f>
        <v>360841.56</v>
      </c>
      <c r="P629" s="39" t="n">
        <f aca="false">H629*'Assumptions &amp; Data'!P763</f>
        <v>201816.31450527</v>
      </c>
      <c r="Q629" s="39" t="n">
        <f aca="false">M629-N629-O629-P629</f>
        <v>2312948.7264852</v>
      </c>
      <c r="R629" s="39" t="n">
        <f aca="false">'Assumptions &amp; Data'!L763*'Assumptions &amp; Data'!M763</f>
        <v>568574</v>
      </c>
      <c r="S629" s="37" t="n">
        <f aca="false">'Assumptions &amp; Data'!Q763</f>
        <v>760000</v>
      </c>
      <c r="T629" s="37" t="n">
        <f aca="false">'Assumptions &amp; Data'!R763</f>
        <v>186002</v>
      </c>
      <c r="U629" s="37" t="n">
        <f aca="false">'Assumptions &amp; Data'!S763</f>
        <v>167613</v>
      </c>
      <c r="V629" s="39" t="n">
        <f aca="false">Q629-R629-S629-T629-U629</f>
        <v>630759.726485199</v>
      </c>
      <c r="W629" s="39" t="n">
        <f aca="false">DAY(EOMONTH(C629,0))</f>
        <v>30</v>
      </c>
      <c r="X629" s="40" t="n">
        <f aca="false">E629/W629</f>
        <v>1287.8</v>
      </c>
      <c r="Y629" s="39" t="n">
        <f aca="false">R629+S629+T629+U629</f>
        <v>1682189</v>
      </c>
    </row>
    <row r="630" customFormat="false" ht="15" hidden="false" customHeight="false" outlineLevel="0" collapsed="false">
      <c r="A630" s="37" t="str">
        <f aca="false">'Assumptions &amp; Data'!A764</f>
        <v>SM0560</v>
      </c>
      <c r="B630" s="37" t="str">
        <f aca="false">'Assumptions &amp; Data'!B764</f>
        <v>DS047</v>
      </c>
      <c r="C630" s="38" t="n">
        <f aca="false">'Assumptions &amp; Data'!C764</f>
        <v>46143</v>
      </c>
      <c r="D630" s="39" t="str">
        <f aca="false">INDEX('Assumptions &amp; Data'!$B$142:$B$201,MATCH(B630,'Assumptions &amp; Data'!$A$142:$A$201,0))</f>
        <v>Pune</v>
      </c>
      <c r="E630" s="37" t="n">
        <f aca="false">'Assumptions &amp; Data'!D764</f>
        <v>42556</v>
      </c>
      <c r="F630" s="39" t="n">
        <f aca="false">E630*'Assumptions &amp; Data'!E764</f>
        <v>25039950.4</v>
      </c>
      <c r="G630" s="39" t="n">
        <f aca="false">F630*'Assumptions &amp; Data'!F764</f>
        <v>1635108.76112</v>
      </c>
      <c r="H630" s="39" t="n">
        <f aca="false">F630-G630</f>
        <v>23404841.63888</v>
      </c>
      <c r="I630" s="39" t="n">
        <f aca="false">H630*'Assumptions &amp; Data'!G764</f>
        <v>3985844.53110126</v>
      </c>
      <c r="J630" s="39" t="n">
        <f aca="false">E630*'Assumptions &amp; Data'!H764</f>
        <v>497054.08</v>
      </c>
      <c r="K630" s="39" t="n">
        <f aca="false">H630*'Assumptions &amp; Data'!I764</f>
        <v>765338.321591376</v>
      </c>
      <c r="L630" s="39" t="n">
        <f aca="false">H630*'Assumptions &amp; Data'!J764</f>
        <v>407244.244516512</v>
      </c>
      <c r="M630" s="39" t="n">
        <f aca="false">I630+J630+K630-L630</f>
        <v>4840992.68817613</v>
      </c>
      <c r="N630" s="39" t="n">
        <f aca="false">E630*'Assumptions &amp; Data'!N764</f>
        <v>1591594.4</v>
      </c>
      <c r="O630" s="39" t="n">
        <f aca="false">E630*'Assumptions &amp; Data'!O764</f>
        <v>425985.56</v>
      </c>
      <c r="P630" s="39" t="n">
        <f aca="false">H630*'Assumptions &amp; Data'!P764</f>
        <v>241069.868880464</v>
      </c>
      <c r="Q630" s="39" t="n">
        <f aca="false">M630-N630-O630-P630</f>
        <v>2582342.85929566</v>
      </c>
      <c r="R630" s="39" t="n">
        <f aca="false">'Assumptions &amp; Data'!L764*'Assumptions &amp; Data'!M764</f>
        <v>588720</v>
      </c>
      <c r="S630" s="37" t="n">
        <f aca="false">'Assumptions &amp; Data'!Q764</f>
        <v>760000</v>
      </c>
      <c r="T630" s="37" t="n">
        <f aca="false">'Assumptions &amp; Data'!R764</f>
        <v>189367</v>
      </c>
      <c r="U630" s="37" t="n">
        <f aca="false">'Assumptions &amp; Data'!S764</f>
        <v>198588</v>
      </c>
      <c r="V630" s="39" t="n">
        <f aca="false">Q630-R630-S630-T630-U630</f>
        <v>845667.859295664</v>
      </c>
      <c r="W630" s="39" t="n">
        <f aca="false">DAY(EOMONTH(C630,0))</f>
        <v>31</v>
      </c>
      <c r="X630" s="40" t="n">
        <f aca="false">E630/W630</f>
        <v>1372.77419354839</v>
      </c>
      <c r="Y630" s="39" t="n">
        <f aca="false">R630+S630+T630+U630</f>
        <v>1736675</v>
      </c>
    </row>
    <row r="631" customFormat="false" ht="15" hidden="false" customHeight="false" outlineLevel="0" collapsed="false">
      <c r="A631" s="37" t="str">
        <f aca="false">'Assumptions &amp; Data'!A765</f>
        <v>SM0561</v>
      </c>
      <c r="B631" s="37" t="str">
        <f aca="false">'Assumptions &amp; Data'!B765</f>
        <v>DS047</v>
      </c>
      <c r="C631" s="38" t="n">
        <f aca="false">'Assumptions &amp; Data'!C765</f>
        <v>46174</v>
      </c>
      <c r="D631" s="39" t="str">
        <f aca="false">INDEX('Assumptions &amp; Data'!$B$142:$B$201,MATCH(B631,'Assumptions &amp; Data'!$A$142:$A$201,0))</f>
        <v>Pune</v>
      </c>
      <c r="E631" s="37" t="n">
        <f aca="false">'Assumptions &amp; Data'!D765</f>
        <v>42824</v>
      </c>
      <c r="F631" s="39" t="n">
        <f aca="false">E631*'Assumptions &amp; Data'!E765</f>
        <v>24435374.4</v>
      </c>
      <c r="G631" s="39" t="n">
        <f aca="false">F631*'Assumptions &amp; Data'!F765</f>
        <v>1602960.56064</v>
      </c>
      <c r="H631" s="39" t="n">
        <f aca="false">F631-G631</f>
        <v>22832413.83936</v>
      </c>
      <c r="I631" s="39" t="n">
        <f aca="false">H631*'Assumptions &amp; Data'!G765</f>
        <v>3950007.59420928</v>
      </c>
      <c r="J631" s="39" t="n">
        <f aca="false">E631*'Assumptions &amp; Data'!H765</f>
        <v>509177.36</v>
      </c>
      <c r="K631" s="39" t="n">
        <f aca="false">H631*'Assumptions &amp; Data'!I765</f>
        <v>762602.622234624</v>
      </c>
      <c r="L631" s="39" t="n">
        <f aca="false">H631*'Assumptions &amp; Data'!J765</f>
        <v>385867.793885184</v>
      </c>
      <c r="M631" s="39" t="n">
        <f aca="false">I631+J631+K631-L631</f>
        <v>4835919.78255872</v>
      </c>
      <c r="N631" s="39" t="n">
        <f aca="false">E631*'Assumptions &amp; Data'!N765</f>
        <v>1596478.72</v>
      </c>
      <c r="O631" s="39" t="n">
        <f aca="false">E631*'Assumptions &amp; Data'!O765</f>
        <v>418818.72</v>
      </c>
      <c r="P631" s="39" t="n">
        <f aca="false">H631*'Assumptions &amp; Data'!P765</f>
        <v>221474.414241792</v>
      </c>
      <c r="Q631" s="39" t="n">
        <f aca="false">M631-N631-O631-P631</f>
        <v>2599147.92831693</v>
      </c>
      <c r="R631" s="39" t="n">
        <f aca="false">'Assumptions &amp; Data'!L765*'Assumptions &amp; Data'!M765</f>
        <v>628544</v>
      </c>
      <c r="S631" s="37" t="n">
        <f aca="false">'Assumptions &amp; Data'!Q765</f>
        <v>760000</v>
      </c>
      <c r="T631" s="37" t="n">
        <f aca="false">'Assumptions &amp; Data'!R765</f>
        <v>186069</v>
      </c>
      <c r="U631" s="37" t="n">
        <f aca="false">'Assumptions &amp; Data'!S765</f>
        <v>210524</v>
      </c>
      <c r="V631" s="39" t="n">
        <f aca="false">Q631-R631-S631-T631-U631</f>
        <v>814010.928316929</v>
      </c>
      <c r="W631" s="39" t="n">
        <f aca="false">DAY(EOMONTH(C631,0))</f>
        <v>30</v>
      </c>
      <c r="X631" s="40" t="n">
        <f aca="false">E631/W631</f>
        <v>1427.46666666667</v>
      </c>
      <c r="Y631" s="39" t="n">
        <f aca="false">R631+S631+T631+U631</f>
        <v>1785137</v>
      </c>
    </row>
    <row r="632" customFormat="false" ht="15" hidden="false" customHeight="false" outlineLevel="0" collapsed="false">
      <c r="A632" s="37" t="str">
        <f aca="false">'Assumptions &amp; Data'!A766</f>
        <v>SM0562</v>
      </c>
      <c r="B632" s="37" t="str">
        <f aca="false">'Assumptions &amp; Data'!B766</f>
        <v>DS047</v>
      </c>
      <c r="C632" s="38" t="n">
        <f aca="false">'Assumptions &amp; Data'!C766</f>
        <v>46204</v>
      </c>
      <c r="D632" s="39" t="str">
        <f aca="false">INDEX('Assumptions &amp; Data'!$B$142:$B$201,MATCH(B632,'Assumptions &amp; Data'!$A$142:$A$201,0))</f>
        <v>Pune</v>
      </c>
      <c r="E632" s="37" t="n">
        <f aca="false">'Assumptions &amp; Data'!D766</f>
        <v>41229</v>
      </c>
      <c r="F632" s="39" t="n">
        <f aca="false">E632*'Assumptions &amp; Data'!E766</f>
        <v>24275635.2</v>
      </c>
      <c r="G632" s="39" t="n">
        <f aca="false">F632*'Assumptions &amp; Data'!F766</f>
        <v>1611902.17728</v>
      </c>
      <c r="H632" s="39" t="n">
        <f aca="false">F632-G632</f>
        <v>22663733.02272</v>
      </c>
      <c r="I632" s="39" t="n">
        <f aca="false">H632*'Assumptions &amp; Data'!G766</f>
        <v>3882297.46679194</v>
      </c>
      <c r="J632" s="39" t="n">
        <f aca="false">E632*'Assumptions &amp; Data'!H766</f>
        <v>487326.78</v>
      </c>
      <c r="K632" s="39" t="n">
        <f aca="false">H632*'Assumptions &amp; Data'!I766</f>
        <v>734304.949936128</v>
      </c>
      <c r="L632" s="39" t="n">
        <f aca="false">H632*'Assumptions &amp; Data'!J766</f>
        <v>405680.821106688</v>
      </c>
      <c r="M632" s="39" t="n">
        <f aca="false">I632+J632+K632-L632</f>
        <v>4698248.37562138</v>
      </c>
      <c r="N632" s="39" t="n">
        <f aca="false">E632*'Assumptions &amp; Data'!N766</f>
        <v>1508569.11</v>
      </c>
      <c r="O632" s="39" t="n">
        <f aca="false">E632*'Assumptions &amp; Data'!O766</f>
        <v>393324.66</v>
      </c>
      <c r="P632" s="39" t="n">
        <f aca="false">H632*'Assumptions &amp; Data'!P766</f>
        <v>215305.46371584</v>
      </c>
      <c r="Q632" s="39" t="n">
        <f aca="false">M632-N632-O632-P632</f>
        <v>2581049.14190554</v>
      </c>
      <c r="R632" s="39" t="n">
        <f aca="false">'Assumptions &amp; Data'!L766*'Assumptions &amp; Data'!M766</f>
        <v>589800</v>
      </c>
      <c r="S632" s="37" t="n">
        <f aca="false">'Assumptions &amp; Data'!Q766</f>
        <v>760000</v>
      </c>
      <c r="T632" s="37" t="n">
        <f aca="false">'Assumptions &amp; Data'!R766</f>
        <v>184963</v>
      </c>
      <c r="U632" s="37" t="n">
        <f aca="false">'Assumptions &amp; Data'!S766</f>
        <v>162257</v>
      </c>
      <c r="V632" s="39" t="n">
        <f aca="false">Q632-R632-S632-T632-U632</f>
        <v>884029.141905535</v>
      </c>
      <c r="W632" s="39" t="n">
        <f aca="false">DAY(EOMONTH(C632,0))</f>
        <v>31</v>
      </c>
      <c r="X632" s="40" t="n">
        <f aca="false">E632/W632</f>
        <v>1329.96774193548</v>
      </c>
      <c r="Y632" s="39" t="n">
        <f aca="false">R632+S632+T632+U632</f>
        <v>1697020</v>
      </c>
    </row>
    <row r="633" customFormat="false" ht="15" hidden="false" customHeight="false" outlineLevel="0" collapsed="false">
      <c r="A633" s="37" t="str">
        <f aca="false">'Assumptions &amp; Data'!A767</f>
        <v>SM0563</v>
      </c>
      <c r="B633" s="37" t="str">
        <f aca="false">'Assumptions &amp; Data'!B767</f>
        <v>DS047</v>
      </c>
      <c r="C633" s="38" t="n">
        <f aca="false">'Assumptions &amp; Data'!C767</f>
        <v>46235</v>
      </c>
      <c r="D633" s="39" t="str">
        <f aca="false">INDEX('Assumptions &amp; Data'!$B$142:$B$201,MATCH(B633,'Assumptions &amp; Data'!$A$142:$A$201,0))</f>
        <v>Pune</v>
      </c>
      <c r="E633" s="37" t="n">
        <f aca="false">'Assumptions &amp; Data'!D767</f>
        <v>40388</v>
      </c>
      <c r="F633" s="39" t="n">
        <f aca="false">E633*'Assumptions &amp; Data'!E767</f>
        <v>23186750.8</v>
      </c>
      <c r="G633" s="39" t="n">
        <f aca="false">F633*'Assumptions &amp; Data'!F767</f>
        <v>1490908.07644</v>
      </c>
      <c r="H633" s="39" t="n">
        <f aca="false">F633-G633</f>
        <v>21695842.72356</v>
      </c>
      <c r="I633" s="39" t="n">
        <f aca="false">H633*'Assumptions &amp; Data'!G767</f>
        <v>3679614.92591578</v>
      </c>
      <c r="J633" s="39" t="n">
        <f aca="false">E633*'Assumptions &amp; Data'!H767</f>
        <v>505657.76</v>
      </c>
      <c r="K633" s="39" t="n">
        <f aca="false">H633*'Assumptions &amp; Data'!I767</f>
        <v>681249.461519784</v>
      </c>
      <c r="L633" s="39" t="n">
        <f aca="false">H633*'Assumptions &amp; Data'!J767</f>
        <v>384016.416207012</v>
      </c>
      <c r="M633" s="39" t="n">
        <f aca="false">I633+J633+K633-L633</f>
        <v>4482505.73122855</v>
      </c>
      <c r="N633" s="39" t="n">
        <f aca="false">E633*'Assumptions &amp; Data'!N767</f>
        <v>1478604.68</v>
      </c>
      <c r="O633" s="39" t="n">
        <f aca="false">E633*'Assumptions &amp; Data'!O767</f>
        <v>394186.88</v>
      </c>
      <c r="P633" s="39" t="n">
        <f aca="false">H633*'Assumptions &amp; Data'!P767</f>
        <v>212619.258690888</v>
      </c>
      <c r="Q633" s="39" t="n">
        <f aca="false">M633-N633-O633-P633</f>
        <v>2397094.91253766</v>
      </c>
      <c r="R633" s="39" t="n">
        <f aca="false">'Assumptions &amp; Data'!L767*'Assumptions &amp; Data'!M767</f>
        <v>550956</v>
      </c>
      <c r="S633" s="37" t="n">
        <f aca="false">'Assumptions &amp; Data'!Q767</f>
        <v>760000</v>
      </c>
      <c r="T633" s="37" t="n">
        <f aca="false">'Assumptions &amp; Data'!R767</f>
        <v>186093</v>
      </c>
      <c r="U633" s="37" t="n">
        <f aca="false">'Assumptions &amp; Data'!S767</f>
        <v>159585</v>
      </c>
      <c r="V633" s="39" t="n">
        <f aca="false">Q633-R633-S633-T633-U633</f>
        <v>740460.912537661</v>
      </c>
      <c r="W633" s="39" t="n">
        <f aca="false">DAY(EOMONTH(C633,0))</f>
        <v>31</v>
      </c>
      <c r="X633" s="40" t="n">
        <f aca="false">E633/W633</f>
        <v>1302.83870967742</v>
      </c>
      <c r="Y633" s="39" t="n">
        <f aca="false">R633+S633+T633+U633</f>
        <v>1656634</v>
      </c>
    </row>
    <row r="634" customFormat="false" ht="15" hidden="false" customHeight="false" outlineLevel="0" collapsed="false">
      <c r="A634" s="37" t="str">
        <f aca="false">'Assumptions &amp; Data'!A768</f>
        <v>SM0564</v>
      </c>
      <c r="B634" s="37" t="str">
        <f aca="false">'Assumptions &amp; Data'!B768</f>
        <v>DS047</v>
      </c>
      <c r="C634" s="38" t="n">
        <f aca="false">'Assumptions &amp; Data'!C768</f>
        <v>46266</v>
      </c>
      <c r="D634" s="39" t="str">
        <f aca="false">INDEX('Assumptions &amp; Data'!$B$142:$B$201,MATCH(B634,'Assumptions &amp; Data'!$A$142:$A$201,0))</f>
        <v>Pune</v>
      </c>
      <c r="E634" s="37" t="n">
        <f aca="false">'Assumptions &amp; Data'!D768</f>
        <v>38025</v>
      </c>
      <c r="F634" s="39" t="n">
        <f aca="false">E634*'Assumptions &amp; Data'!E768</f>
        <v>21936622.5</v>
      </c>
      <c r="G634" s="39" t="n">
        <f aca="false">F634*'Assumptions &amp; Data'!F768</f>
        <v>1432461.44925</v>
      </c>
      <c r="H634" s="39" t="n">
        <f aca="false">F634-G634</f>
        <v>20504161.05075</v>
      </c>
      <c r="I634" s="39" t="n">
        <f aca="false">H634*'Assumptions &amp; Data'!G768</f>
        <v>3498009.87525795</v>
      </c>
      <c r="J634" s="39" t="n">
        <f aca="false">E634*'Assumptions &amp; Data'!H768</f>
        <v>446413.5</v>
      </c>
      <c r="K634" s="39" t="n">
        <f aca="false">H634*'Assumptions &amp; Data'!I768</f>
        <v>596671.086576825</v>
      </c>
      <c r="L634" s="39" t="n">
        <f aca="false">H634*'Assumptions &amp; Data'!J768</f>
        <v>358822.818388125</v>
      </c>
      <c r="M634" s="39" t="n">
        <f aca="false">I634+J634+K634-L634</f>
        <v>4182271.64344665</v>
      </c>
      <c r="N634" s="39" t="n">
        <f aca="false">E634*'Assumptions &amp; Data'!N768</f>
        <v>1367759.25</v>
      </c>
      <c r="O634" s="39" t="n">
        <f aca="false">E634*'Assumptions &amp; Data'!O768</f>
        <v>366180.75</v>
      </c>
      <c r="P634" s="39" t="n">
        <f aca="false">H634*'Assumptions &amp; Data'!P768</f>
        <v>211192.858822725</v>
      </c>
      <c r="Q634" s="39" t="n">
        <f aca="false">M634-N634-O634-P634</f>
        <v>2237138.78462393</v>
      </c>
      <c r="R634" s="39" t="n">
        <f aca="false">'Assumptions &amp; Data'!L768*'Assumptions &amp; Data'!M768</f>
        <v>571155</v>
      </c>
      <c r="S634" s="37" t="n">
        <f aca="false">'Assumptions &amp; Data'!Q768</f>
        <v>760000</v>
      </c>
      <c r="T634" s="37" t="n">
        <f aca="false">'Assumptions &amp; Data'!R768</f>
        <v>180255</v>
      </c>
      <c r="U634" s="37" t="n">
        <f aca="false">'Assumptions &amp; Data'!S768</f>
        <v>168078</v>
      </c>
      <c r="V634" s="39" t="n">
        <f aca="false">Q634-R634-S634-T634-U634</f>
        <v>557650.784623926</v>
      </c>
      <c r="W634" s="39" t="n">
        <f aca="false">DAY(EOMONTH(C634,0))</f>
        <v>30</v>
      </c>
      <c r="X634" s="40" t="n">
        <f aca="false">E634/W634</f>
        <v>1267.5</v>
      </c>
      <c r="Y634" s="39" t="n">
        <f aca="false">R634+S634+T634+U634</f>
        <v>1679488</v>
      </c>
    </row>
    <row r="635" customFormat="false" ht="15" hidden="false" customHeight="false" outlineLevel="0" collapsed="false">
      <c r="A635" s="37" t="str">
        <f aca="false">'Assumptions &amp; Data'!A769</f>
        <v>SM0565</v>
      </c>
      <c r="B635" s="37" t="str">
        <f aca="false">'Assumptions &amp; Data'!B769</f>
        <v>DS048</v>
      </c>
      <c r="C635" s="38" t="n">
        <f aca="false">'Assumptions &amp; Data'!C769</f>
        <v>45931</v>
      </c>
      <c r="D635" s="39" t="str">
        <f aca="false">INDEX('Assumptions &amp; Data'!$B$142:$B$201,MATCH(B635,'Assumptions &amp; Data'!$A$142:$A$201,0))</f>
        <v>Pune</v>
      </c>
      <c r="E635" s="37" t="n">
        <f aca="false">'Assumptions &amp; Data'!D769</f>
        <v>2009</v>
      </c>
      <c r="F635" s="39" t="n">
        <f aca="false">E635*'Assumptions &amp; Data'!E769</f>
        <v>1289175.3</v>
      </c>
      <c r="G635" s="39" t="n">
        <f aca="false">F635*'Assumptions &amp; Data'!F769</f>
        <v>108419.64273</v>
      </c>
      <c r="H635" s="39" t="n">
        <f aca="false">F635-G635</f>
        <v>1180755.65727</v>
      </c>
      <c r="I635" s="39" t="n">
        <f aca="false">H635*'Assumptions &amp; Data'!G769</f>
        <v>188684.754031746</v>
      </c>
      <c r="J635" s="39" t="n">
        <f aca="false">E635*'Assumptions &amp; Data'!H769</f>
        <v>24570.07</v>
      </c>
      <c r="K635" s="39" t="n">
        <f aca="false">H635*'Assumptions &amp; Data'!I769</f>
        <v>23142.810882492</v>
      </c>
      <c r="L635" s="39" t="n">
        <f aca="false">H635*'Assumptions &amp; Data'!J769</f>
        <v>48292.906382343</v>
      </c>
      <c r="M635" s="39" t="n">
        <f aca="false">I635+J635+K635-L635</f>
        <v>188104.728531895</v>
      </c>
      <c r="N635" s="39" t="n">
        <f aca="false">E635*'Assumptions &amp; Data'!N769</f>
        <v>96030.2</v>
      </c>
      <c r="O635" s="39" t="n">
        <f aca="false">E635*'Assumptions &amp; Data'!O769</f>
        <v>19246.22</v>
      </c>
      <c r="P635" s="39" t="n">
        <f aca="false">H635*'Assumptions &amp; Data'!P769</f>
        <v>11807.5565727</v>
      </c>
      <c r="Q635" s="39" t="n">
        <f aca="false">M635-N635-O635-P635</f>
        <v>61020.751959195</v>
      </c>
      <c r="R635" s="39" t="n">
        <f aca="false">'Assumptions &amp; Data'!L769*'Assumptions &amp; Data'!M769</f>
        <v>312000</v>
      </c>
      <c r="S635" s="37" t="n">
        <f aca="false">'Assumptions &amp; Data'!Q769</f>
        <v>490000</v>
      </c>
      <c r="T635" s="37" t="n">
        <f aca="false">'Assumptions &amp; Data'!R769</f>
        <v>148714</v>
      </c>
      <c r="U635" s="37" t="n">
        <f aca="false">'Assumptions &amp; Data'!S769</f>
        <v>38492</v>
      </c>
      <c r="V635" s="39" t="n">
        <f aca="false">Q635-R635-S635-T635-U635</f>
        <v>-928185.248040805</v>
      </c>
      <c r="W635" s="39" t="n">
        <f aca="false">DAY(EOMONTH(C635,0))</f>
        <v>31</v>
      </c>
      <c r="X635" s="40" t="n">
        <f aca="false">E635/W635</f>
        <v>64.8064516129032</v>
      </c>
      <c r="Y635" s="39" t="n">
        <f aca="false">R635+S635+T635+U635</f>
        <v>989206</v>
      </c>
    </row>
    <row r="636" customFormat="false" ht="15" hidden="false" customHeight="false" outlineLevel="0" collapsed="false">
      <c r="A636" s="37" t="str">
        <f aca="false">'Assumptions &amp; Data'!A770</f>
        <v>SM0566</v>
      </c>
      <c r="B636" s="37" t="str">
        <f aca="false">'Assumptions &amp; Data'!B770</f>
        <v>DS048</v>
      </c>
      <c r="C636" s="38" t="n">
        <f aca="false">'Assumptions &amp; Data'!C770</f>
        <v>45962</v>
      </c>
      <c r="D636" s="39" t="str">
        <f aca="false">INDEX('Assumptions &amp; Data'!$B$142:$B$201,MATCH(B636,'Assumptions &amp; Data'!$A$142:$A$201,0))</f>
        <v>Pune</v>
      </c>
      <c r="E636" s="37" t="n">
        <f aca="false">'Assumptions &amp; Data'!D770</f>
        <v>2047</v>
      </c>
      <c r="F636" s="39" t="n">
        <f aca="false">E636*'Assumptions &amp; Data'!E770</f>
        <v>1263203.7</v>
      </c>
      <c r="G636" s="39" t="n">
        <f aca="false">F636*'Assumptions &amp; Data'!F770</f>
        <v>101435.25711</v>
      </c>
      <c r="H636" s="39" t="n">
        <f aca="false">F636-G636</f>
        <v>1161768.44289</v>
      </c>
      <c r="I636" s="39" t="n">
        <f aca="false">H636*'Assumptions &amp; Data'!G770</f>
        <v>187741.780371024</v>
      </c>
      <c r="J636" s="39" t="n">
        <f aca="false">E636*'Assumptions &amp; Data'!H770</f>
        <v>26201.6</v>
      </c>
      <c r="K636" s="39" t="n">
        <f aca="false">H636*'Assumptions &amp; Data'!I770</f>
        <v>20214.770906286</v>
      </c>
      <c r="L636" s="39" t="n">
        <f aca="false">H636*'Assumptions &amp; Data'!J770</f>
        <v>49258.981978536</v>
      </c>
      <c r="M636" s="39" t="n">
        <f aca="false">I636+J636+K636-L636</f>
        <v>184899.169298774</v>
      </c>
      <c r="N636" s="39" t="n">
        <f aca="false">E636*'Assumptions &amp; Data'!N770</f>
        <v>98951.98</v>
      </c>
      <c r="O636" s="39" t="n">
        <f aca="false">E636*'Assumptions &amp; Data'!O770</f>
        <v>19200.86</v>
      </c>
      <c r="P636" s="39" t="n">
        <f aca="false">H636*'Assumptions &amp; Data'!P770</f>
        <v>11617.6844289</v>
      </c>
      <c r="Q636" s="39" t="n">
        <f aca="false">M636-N636-O636-P636</f>
        <v>55128.644869874</v>
      </c>
      <c r="R636" s="39" t="n">
        <f aca="false">'Assumptions &amp; Data'!L770*'Assumptions &amp; Data'!M770</f>
        <v>331806</v>
      </c>
      <c r="S636" s="37" t="n">
        <f aca="false">'Assumptions &amp; Data'!Q770</f>
        <v>490000</v>
      </c>
      <c r="T636" s="37" t="n">
        <f aca="false">'Assumptions &amp; Data'!R770</f>
        <v>154593</v>
      </c>
      <c r="U636" s="37" t="n">
        <f aca="false">'Assumptions &amp; Data'!S770</f>
        <v>38316</v>
      </c>
      <c r="V636" s="39" t="n">
        <f aca="false">Q636-R636-S636-T636-U636</f>
        <v>-959586.355130126</v>
      </c>
      <c r="W636" s="39" t="n">
        <f aca="false">DAY(EOMONTH(C636,0))</f>
        <v>30</v>
      </c>
      <c r="X636" s="40" t="n">
        <f aca="false">E636/W636</f>
        <v>68.2333333333333</v>
      </c>
      <c r="Y636" s="39" t="n">
        <f aca="false">R636+S636+T636+U636</f>
        <v>1014715</v>
      </c>
    </row>
    <row r="637" customFormat="false" ht="15" hidden="false" customHeight="false" outlineLevel="0" collapsed="false">
      <c r="A637" s="37" t="str">
        <f aca="false">'Assumptions &amp; Data'!A771</f>
        <v>SM0567</v>
      </c>
      <c r="B637" s="37" t="str">
        <f aca="false">'Assumptions &amp; Data'!B771</f>
        <v>DS048</v>
      </c>
      <c r="C637" s="38" t="n">
        <f aca="false">'Assumptions &amp; Data'!C771</f>
        <v>45992</v>
      </c>
      <c r="D637" s="39" t="str">
        <f aca="false">INDEX('Assumptions &amp; Data'!$B$142:$B$201,MATCH(B637,'Assumptions &amp; Data'!$A$142:$A$201,0))</f>
        <v>Pune</v>
      </c>
      <c r="E637" s="37" t="n">
        <f aca="false">'Assumptions &amp; Data'!D771</f>
        <v>3919</v>
      </c>
      <c r="F637" s="39" t="n">
        <f aca="false">E637*'Assumptions &amp; Data'!E771</f>
        <v>2500322</v>
      </c>
      <c r="G637" s="39" t="n">
        <f aca="false">F637*'Assumptions &amp; Data'!F771</f>
        <v>202026.0176</v>
      </c>
      <c r="H637" s="39" t="n">
        <f aca="false">F637-G637</f>
        <v>2298295.9824</v>
      </c>
      <c r="I637" s="39" t="n">
        <f aca="false">H637*'Assumptions &amp; Data'!G771</f>
        <v>386573.38423968</v>
      </c>
      <c r="J637" s="39" t="n">
        <f aca="false">E637*'Assumptions &amp; Data'!H771</f>
        <v>47811.8</v>
      </c>
      <c r="K637" s="39" t="n">
        <f aca="false">H637*'Assumptions &amp; Data'!I771</f>
        <v>44586.94205856</v>
      </c>
      <c r="L637" s="39" t="n">
        <f aca="false">H637*'Assumptions &amp; Data'!J771</f>
        <v>91472.18009952</v>
      </c>
      <c r="M637" s="39" t="n">
        <f aca="false">I637+J637+K637-L637</f>
        <v>387499.94619872</v>
      </c>
      <c r="N637" s="39" t="n">
        <f aca="false">E637*'Assumptions &amp; Data'!N771</f>
        <v>189052.56</v>
      </c>
      <c r="O637" s="39" t="n">
        <f aca="false">E637*'Assumptions &amp; Data'!O771</f>
        <v>39817.04</v>
      </c>
      <c r="P637" s="39" t="n">
        <f aca="false">H637*'Assumptions &amp; Data'!P771</f>
        <v>21603.98223456</v>
      </c>
      <c r="Q637" s="39" t="n">
        <f aca="false">M637-N637-O637-P637</f>
        <v>137026.36396416</v>
      </c>
      <c r="R637" s="39" t="n">
        <f aca="false">'Assumptions &amp; Data'!L771*'Assumptions &amp; Data'!M771</f>
        <v>312560</v>
      </c>
      <c r="S637" s="37" t="n">
        <f aca="false">'Assumptions &amp; Data'!Q771</f>
        <v>490000</v>
      </c>
      <c r="T637" s="37" t="n">
        <f aca="false">'Assumptions &amp; Data'!R771</f>
        <v>143570</v>
      </c>
      <c r="U637" s="37" t="n">
        <f aca="false">'Assumptions &amp; Data'!S771</f>
        <v>69885</v>
      </c>
      <c r="V637" s="39" t="n">
        <f aca="false">Q637-R637-S637-T637-U637</f>
        <v>-878988.63603584</v>
      </c>
      <c r="W637" s="39" t="n">
        <f aca="false">DAY(EOMONTH(C637,0))</f>
        <v>31</v>
      </c>
      <c r="X637" s="40" t="n">
        <f aca="false">E637/W637</f>
        <v>126.41935483871</v>
      </c>
      <c r="Y637" s="39" t="n">
        <f aca="false">R637+S637+T637+U637</f>
        <v>1016015</v>
      </c>
    </row>
    <row r="638" customFormat="false" ht="15" hidden="false" customHeight="false" outlineLevel="0" collapsed="false">
      <c r="A638" s="37" t="str">
        <f aca="false">'Assumptions &amp; Data'!A772</f>
        <v>SM0568</v>
      </c>
      <c r="B638" s="37" t="str">
        <f aca="false">'Assumptions &amp; Data'!B772</f>
        <v>DS048</v>
      </c>
      <c r="C638" s="38" t="n">
        <f aca="false">'Assumptions &amp; Data'!C772</f>
        <v>46023</v>
      </c>
      <c r="D638" s="39" t="str">
        <f aca="false">INDEX('Assumptions &amp; Data'!$B$142:$B$201,MATCH(B638,'Assumptions &amp; Data'!$A$142:$A$201,0))</f>
        <v>Pune</v>
      </c>
      <c r="E638" s="37" t="n">
        <f aca="false">'Assumptions &amp; Data'!D772</f>
        <v>5372</v>
      </c>
      <c r="F638" s="39" t="n">
        <f aca="false">E638*'Assumptions &amp; Data'!E772</f>
        <v>3426261.6</v>
      </c>
      <c r="G638" s="39" t="n">
        <f aca="false">F638*'Assumptions &amp; Data'!F772</f>
        <v>240866.19048</v>
      </c>
      <c r="H638" s="39" t="n">
        <f aca="false">F638-G638</f>
        <v>3185395.40952</v>
      </c>
      <c r="I638" s="39" t="n">
        <f aca="false">H638*'Assumptions &amp; Data'!G772</f>
        <v>525590.2425708</v>
      </c>
      <c r="J638" s="39" t="n">
        <f aca="false">E638*'Assumptions &amp; Data'!H772</f>
        <v>68331.84</v>
      </c>
      <c r="K638" s="39" t="n">
        <f aca="false">H638*'Assumptions &amp; Data'!I772</f>
        <v>59566.894158024</v>
      </c>
      <c r="L638" s="39" t="n">
        <f aca="false">H638*'Assumptions &amp; Data'!J772</f>
        <v>132193.90949508</v>
      </c>
      <c r="M638" s="39" t="n">
        <f aca="false">I638+J638+K638-L638</f>
        <v>521295.067233744</v>
      </c>
      <c r="N638" s="39" t="n">
        <f aca="false">E638*'Assumptions &amp; Data'!N772</f>
        <v>251087.28</v>
      </c>
      <c r="O638" s="39" t="n">
        <f aca="false">E638*'Assumptions &amp; Data'!O772</f>
        <v>52538.16</v>
      </c>
      <c r="P638" s="39" t="n">
        <f aca="false">H638*'Assumptions &amp; Data'!P772</f>
        <v>31216.875013296</v>
      </c>
      <c r="Q638" s="39" t="n">
        <f aca="false">M638-N638-O638-P638</f>
        <v>186452.752220448</v>
      </c>
      <c r="R638" s="39" t="n">
        <f aca="false">'Assumptions &amp; Data'!L772*'Assumptions &amp; Data'!M772</f>
        <v>312848</v>
      </c>
      <c r="S638" s="37" t="n">
        <f aca="false">'Assumptions &amp; Data'!Q772</f>
        <v>490000</v>
      </c>
      <c r="T638" s="37" t="n">
        <f aca="false">'Assumptions &amp; Data'!R772</f>
        <v>152875</v>
      </c>
      <c r="U638" s="37" t="n">
        <f aca="false">'Assumptions &amp; Data'!S772</f>
        <v>88256</v>
      </c>
      <c r="V638" s="39" t="n">
        <f aca="false">Q638-R638-S638-T638-U638</f>
        <v>-857526.247779552</v>
      </c>
      <c r="W638" s="39" t="n">
        <f aca="false">DAY(EOMONTH(C638,0))</f>
        <v>31</v>
      </c>
      <c r="X638" s="40" t="n">
        <f aca="false">E638/W638</f>
        <v>173.290322580645</v>
      </c>
      <c r="Y638" s="39" t="n">
        <f aca="false">R638+S638+T638+U638</f>
        <v>1043979</v>
      </c>
    </row>
    <row r="639" customFormat="false" ht="15" hidden="false" customHeight="false" outlineLevel="0" collapsed="false">
      <c r="A639" s="37" t="str">
        <f aca="false">'Assumptions &amp; Data'!A773</f>
        <v>SM0569</v>
      </c>
      <c r="B639" s="37" t="str">
        <f aca="false">'Assumptions &amp; Data'!B773</f>
        <v>DS048</v>
      </c>
      <c r="C639" s="38" t="n">
        <f aca="false">'Assumptions &amp; Data'!C773</f>
        <v>46054</v>
      </c>
      <c r="D639" s="39" t="str">
        <f aca="false">INDEX('Assumptions &amp; Data'!$B$142:$B$201,MATCH(B639,'Assumptions &amp; Data'!$A$142:$A$201,0))</f>
        <v>Pune</v>
      </c>
      <c r="E639" s="37" t="n">
        <f aca="false">'Assumptions &amp; Data'!D773</f>
        <v>6013</v>
      </c>
      <c r="F639" s="39" t="n">
        <f aca="false">E639*'Assumptions &amp; Data'!E773</f>
        <v>3637263.7</v>
      </c>
      <c r="G639" s="39" t="n">
        <f aca="false">F639*'Assumptions &amp; Data'!F773</f>
        <v>255335.91174</v>
      </c>
      <c r="H639" s="39" t="n">
        <f aca="false">F639-G639</f>
        <v>3381927.78826</v>
      </c>
      <c r="I639" s="39" t="n">
        <f aca="false">H639*'Assumptions &amp; Data'!G773</f>
        <v>557003.506726422</v>
      </c>
      <c r="J639" s="39" t="n">
        <f aca="false">E639*'Assumptions &amp; Data'!H773</f>
        <v>73298.47</v>
      </c>
      <c r="K639" s="39" t="n">
        <f aca="false">H639*'Assumptions &amp; Data'!I773</f>
        <v>58845.543515724</v>
      </c>
      <c r="L639" s="39" t="n">
        <f aca="false">H639*'Assumptions &amp; Data'!J773</f>
        <v>131895.18374214</v>
      </c>
      <c r="M639" s="39" t="n">
        <f aca="false">I639+J639+K639-L639</f>
        <v>557252.336500006</v>
      </c>
      <c r="N639" s="39" t="n">
        <f aca="false">E639*'Assumptions &amp; Data'!N773</f>
        <v>274373.19</v>
      </c>
      <c r="O639" s="39" t="n">
        <f aca="false">E639*'Assumptions &amp; Data'!O773</f>
        <v>56943.11</v>
      </c>
      <c r="P639" s="39" t="n">
        <f aca="false">H639*'Assumptions &amp; Data'!P773</f>
        <v>34157.470661426</v>
      </c>
      <c r="Q639" s="39" t="n">
        <f aca="false">M639-N639-O639-P639</f>
        <v>191778.56583858</v>
      </c>
      <c r="R639" s="39" t="n">
        <f aca="false">'Assumptions &amp; Data'!L773*'Assumptions &amp; Data'!M773</f>
        <v>313136</v>
      </c>
      <c r="S639" s="37" t="n">
        <f aca="false">'Assumptions &amp; Data'!Q773</f>
        <v>490000</v>
      </c>
      <c r="T639" s="37" t="n">
        <f aca="false">'Assumptions &amp; Data'!R773</f>
        <v>143690</v>
      </c>
      <c r="U639" s="37" t="n">
        <f aca="false">'Assumptions &amp; Data'!S773</f>
        <v>81922</v>
      </c>
      <c r="V639" s="39" t="n">
        <f aca="false">Q639-R639-S639-T639-U639</f>
        <v>-836969.43416142</v>
      </c>
      <c r="W639" s="39" t="n">
        <f aca="false">DAY(EOMONTH(C639,0))</f>
        <v>28</v>
      </c>
      <c r="X639" s="40" t="n">
        <f aca="false">E639/W639</f>
        <v>214.75</v>
      </c>
      <c r="Y639" s="39" t="n">
        <f aca="false">R639+S639+T639+U639</f>
        <v>1028748</v>
      </c>
    </row>
    <row r="640" customFormat="false" ht="15" hidden="false" customHeight="false" outlineLevel="0" collapsed="false">
      <c r="A640" s="37" t="str">
        <f aca="false">'Assumptions &amp; Data'!A774</f>
        <v>SM0570</v>
      </c>
      <c r="B640" s="37" t="str">
        <f aca="false">'Assumptions &amp; Data'!B774</f>
        <v>DS048</v>
      </c>
      <c r="C640" s="38" t="n">
        <f aca="false">'Assumptions &amp; Data'!C774</f>
        <v>46082</v>
      </c>
      <c r="D640" s="39" t="str">
        <f aca="false">INDEX('Assumptions &amp; Data'!$B$142:$B$201,MATCH(B640,'Assumptions &amp; Data'!$A$142:$A$201,0))</f>
        <v>Pune</v>
      </c>
      <c r="E640" s="37" t="n">
        <f aca="false">'Assumptions &amp; Data'!D774</f>
        <v>8280</v>
      </c>
      <c r="F640" s="39" t="n">
        <f aca="false">E640*'Assumptions &amp; Data'!E774</f>
        <v>5129460</v>
      </c>
      <c r="G640" s="39" t="n">
        <f aca="false">F640*'Assumptions &amp; Data'!F774</f>
        <v>343160.874</v>
      </c>
      <c r="H640" s="39" t="n">
        <f aca="false">F640-G640</f>
        <v>4786299.126</v>
      </c>
      <c r="I640" s="39" t="n">
        <f aca="false">H640*'Assumptions &amp; Data'!G774</f>
        <v>802183.7335176</v>
      </c>
      <c r="J640" s="39" t="n">
        <f aca="false">E640*'Assumptions &amp; Data'!H774</f>
        <v>107640</v>
      </c>
      <c r="K640" s="39" t="n">
        <f aca="false">H640*'Assumptions &amp; Data'!I774</f>
        <v>92375.5731318</v>
      </c>
      <c r="L640" s="39" t="n">
        <f aca="false">H640*'Assumptions &amp; Data'!J774</f>
        <v>182836.6266132</v>
      </c>
      <c r="M640" s="39" t="n">
        <f aca="false">I640+J640+K640-L640</f>
        <v>819362.6800362</v>
      </c>
      <c r="N640" s="39" t="n">
        <f aca="false">E640*'Assumptions &amp; Data'!N774</f>
        <v>384192</v>
      </c>
      <c r="O640" s="39" t="n">
        <f aca="false">E640*'Assumptions &amp; Data'!O774</f>
        <v>82220.4</v>
      </c>
      <c r="P640" s="39" t="n">
        <f aca="false">H640*'Assumptions &amp; Data'!P774</f>
        <v>46905.7314348</v>
      </c>
      <c r="Q640" s="39" t="n">
        <f aca="false">M640-N640-O640-P640</f>
        <v>306044.5486014</v>
      </c>
      <c r="R640" s="39" t="n">
        <f aca="false">'Assumptions &amp; Data'!L774*'Assumptions &amp; Data'!M774</f>
        <v>313424</v>
      </c>
      <c r="S640" s="37" t="n">
        <f aca="false">'Assumptions &amp; Data'!Q774</f>
        <v>490000</v>
      </c>
      <c r="T640" s="37" t="n">
        <f aca="false">'Assumptions &amp; Data'!R774</f>
        <v>158179</v>
      </c>
      <c r="U640" s="37" t="n">
        <f aca="false">'Assumptions &amp; Data'!S774</f>
        <v>110113</v>
      </c>
      <c r="V640" s="39" t="n">
        <f aca="false">Q640-R640-S640-T640-U640</f>
        <v>-765671.4513986</v>
      </c>
      <c r="W640" s="39" t="n">
        <f aca="false">DAY(EOMONTH(C640,0))</f>
        <v>31</v>
      </c>
      <c r="X640" s="40" t="n">
        <f aca="false">E640/W640</f>
        <v>267.096774193548</v>
      </c>
      <c r="Y640" s="39" t="n">
        <f aca="false">R640+S640+T640+U640</f>
        <v>1071716</v>
      </c>
    </row>
    <row r="641" customFormat="false" ht="15" hidden="false" customHeight="false" outlineLevel="0" collapsed="false">
      <c r="A641" s="37" t="str">
        <f aca="false">'Assumptions &amp; Data'!A775</f>
        <v>SM0571</v>
      </c>
      <c r="B641" s="37" t="str">
        <f aca="false">'Assumptions &amp; Data'!B775</f>
        <v>DS048</v>
      </c>
      <c r="C641" s="38" t="n">
        <f aca="false">'Assumptions &amp; Data'!C775</f>
        <v>46113</v>
      </c>
      <c r="D641" s="39" t="str">
        <f aca="false">INDEX('Assumptions &amp; Data'!$B$142:$B$201,MATCH(B641,'Assumptions &amp; Data'!$A$142:$A$201,0))</f>
        <v>Pune</v>
      </c>
      <c r="E641" s="37" t="n">
        <f aca="false">'Assumptions &amp; Data'!D775</f>
        <v>9784</v>
      </c>
      <c r="F641" s="39" t="n">
        <f aca="false">E641*'Assumptions &amp; Data'!E775</f>
        <v>6073907.2</v>
      </c>
      <c r="G641" s="39" t="n">
        <f aca="false">F641*'Assumptions &amp; Data'!F775</f>
        <v>405129.61024</v>
      </c>
      <c r="H641" s="39" t="n">
        <f aca="false">F641-G641</f>
        <v>5668777.58976</v>
      </c>
      <c r="I641" s="39" t="n">
        <f aca="false">H641*'Assumptions &amp; Data'!G775</f>
        <v>929679.52472064</v>
      </c>
      <c r="J641" s="39" t="n">
        <f aca="false">E641*'Assumptions &amp; Data'!H775</f>
        <v>121125.92</v>
      </c>
      <c r="K641" s="39" t="n">
        <f aca="false">H641*'Assumptions &amp; Data'!I775</f>
        <v>101471.118856704</v>
      </c>
      <c r="L641" s="39" t="n">
        <f aca="false">H641*'Assumptions &amp; Data'!J775</f>
        <v>209744.77082112</v>
      </c>
      <c r="M641" s="39" t="n">
        <f aca="false">I641+J641+K641-L641</f>
        <v>942531.792756224</v>
      </c>
      <c r="N641" s="39" t="n">
        <f aca="false">E641*'Assumptions &amp; Data'!N775</f>
        <v>448889.92</v>
      </c>
      <c r="O641" s="39" t="n">
        <f aca="false">E641*'Assumptions &amp; Data'!O775</f>
        <v>98818.4</v>
      </c>
      <c r="P641" s="39" t="n">
        <f aca="false">H641*'Assumptions &amp; Data'!P775</f>
        <v>56687.7758976</v>
      </c>
      <c r="Q641" s="39" t="n">
        <f aca="false">M641-N641-O641-P641</f>
        <v>338135.696858624</v>
      </c>
      <c r="R641" s="39" t="n">
        <f aca="false">'Assumptions &amp; Data'!L775*'Assumptions &amp; Data'!M775</f>
        <v>313696</v>
      </c>
      <c r="S641" s="37" t="n">
        <f aca="false">'Assumptions &amp; Data'!Q775</f>
        <v>490000</v>
      </c>
      <c r="T641" s="37" t="n">
        <f aca="false">'Assumptions &amp; Data'!R775</f>
        <v>153126</v>
      </c>
      <c r="U641" s="37" t="n">
        <f aca="false">'Assumptions &amp; Data'!S775</f>
        <v>119808</v>
      </c>
      <c r="V641" s="39" t="n">
        <f aca="false">Q641-R641-S641-T641-U641</f>
        <v>-738494.303141376</v>
      </c>
      <c r="W641" s="39" t="n">
        <f aca="false">DAY(EOMONTH(C641,0))</f>
        <v>30</v>
      </c>
      <c r="X641" s="40" t="n">
        <f aca="false">E641/W641</f>
        <v>326.133333333333</v>
      </c>
      <c r="Y641" s="39" t="n">
        <f aca="false">R641+S641+T641+U641</f>
        <v>1076630</v>
      </c>
    </row>
    <row r="642" customFormat="false" ht="15" hidden="false" customHeight="false" outlineLevel="0" collapsed="false">
      <c r="A642" s="37" t="str">
        <f aca="false">'Assumptions &amp; Data'!A776</f>
        <v>SM0572</v>
      </c>
      <c r="B642" s="37" t="str">
        <f aca="false">'Assumptions &amp; Data'!B776</f>
        <v>DS048</v>
      </c>
      <c r="C642" s="38" t="n">
        <f aca="false">'Assumptions &amp; Data'!C776</f>
        <v>46143</v>
      </c>
      <c r="D642" s="39" t="str">
        <f aca="false">INDEX('Assumptions &amp; Data'!$B$142:$B$201,MATCH(B642,'Assumptions &amp; Data'!$A$142:$A$201,0))</f>
        <v>Pune</v>
      </c>
      <c r="E642" s="37" t="n">
        <f aca="false">'Assumptions &amp; Data'!D776</f>
        <v>10272</v>
      </c>
      <c r="F642" s="39" t="n">
        <f aca="false">E642*'Assumptions &amp; Data'!E776</f>
        <v>6505257.6</v>
      </c>
      <c r="G642" s="39" t="n">
        <f aca="false">F642*'Assumptions &amp; Data'!F776</f>
        <v>417637.53792</v>
      </c>
      <c r="H642" s="39" t="n">
        <f aca="false">F642-G642</f>
        <v>6087620.06208</v>
      </c>
      <c r="I642" s="39" t="n">
        <f aca="false">H642*'Assumptions &amp; Data'!G776</f>
        <v>1019067.59839219</v>
      </c>
      <c r="J642" s="39" t="n">
        <f aca="false">E642*'Assumptions &amp; Data'!H776</f>
        <v>128605.44</v>
      </c>
      <c r="K642" s="39" t="n">
        <f aca="false">H642*'Assumptions &amp; Data'!I776</f>
        <v>129057.545316096</v>
      </c>
      <c r="L642" s="39" t="n">
        <f aca="false">H642*'Assumptions &amp; Data'!J776</f>
        <v>225850.704303168</v>
      </c>
      <c r="M642" s="39" t="n">
        <f aca="false">I642+J642+K642-L642</f>
        <v>1050879.87940512</v>
      </c>
      <c r="N642" s="39" t="n">
        <f aca="false">E642*'Assumptions &amp; Data'!N776</f>
        <v>456282.24</v>
      </c>
      <c r="O642" s="39" t="n">
        <f aca="false">E642*'Assumptions &amp; Data'!O776</f>
        <v>101179.2</v>
      </c>
      <c r="P642" s="39" t="n">
        <f aca="false">H642*'Assumptions &amp; Data'!P776</f>
        <v>56006.104571136</v>
      </c>
      <c r="Q642" s="39" t="n">
        <f aca="false">M642-N642-O642-P642</f>
        <v>437412.334833984</v>
      </c>
      <c r="R642" s="39" t="n">
        <f aca="false">'Assumptions &amp; Data'!L776*'Assumptions &amp; Data'!M776</f>
        <v>313984</v>
      </c>
      <c r="S642" s="37" t="n">
        <f aca="false">'Assumptions &amp; Data'!Q776</f>
        <v>490000</v>
      </c>
      <c r="T642" s="37" t="n">
        <f aca="false">'Assumptions &amp; Data'!R776</f>
        <v>148983</v>
      </c>
      <c r="U642" s="37" t="n">
        <f aca="false">'Assumptions &amp; Data'!S776</f>
        <v>121391</v>
      </c>
      <c r="V642" s="39" t="n">
        <f aca="false">Q642-R642-S642-T642-U642</f>
        <v>-636945.665166016</v>
      </c>
      <c r="W642" s="39" t="n">
        <f aca="false">DAY(EOMONTH(C642,0))</f>
        <v>31</v>
      </c>
      <c r="X642" s="40" t="n">
        <f aca="false">E642/W642</f>
        <v>331.354838709677</v>
      </c>
      <c r="Y642" s="39" t="n">
        <f aca="false">R642+S642+T642+U642</f>
        <v>1074358</v>
      </c>
    </row>
    <row r="643" customFormat="false" ht="15" hidden="false" customHeight="false" outlineLevel="0" collapsed="false">
      <c r="A643" s="37" t="str">
        <f aca="false">'Assumptions &amp; Data'!A777</f>
        <v>SM0573</v>
      </c>
      <c r="B643" s="37" t="str">
        <f aca="false">'Assumptions &amp; Data'!B777</f>
        <v>DS048</v>
      </c>
      <c r="C643" s="38" t="n">
        <f aca="false">'Assumptions &amp; Data'!C777</f>
        <v>46174</v>
      </c>
      <c r="D643" s="39" t="str">
        <f aca="false">INDEX('Assumptions &amp; Data'!$B$142:$B$201,MATCH(B643,'Assumptions &amp; Data'!$A$142:$A$201,0))</f>
        <v>Pune</v>
      </c>
      <c r="E643" s="37" t="n">
        <f aca="false">'Assumptions &amp; Data'!D777</f>
        <v>11576</v>
      </c>
      <c r="F643" s="39" t="n">
        <f aca="false">E643*'Assumptions &amp; Data'!E777</f>
        <v>7392433.6</v>
      </c>
      <c r="G643" s="39" t="n">
        <f aca="false">F643*'Assumptions &amp; Data'!F777</f>
        <v>436892.82576</v>
      </c>
      <c r="H643" s="39" t="n">
        <f aca="false">F643-G643</f>
        <v>6955540.77424</v>
      </c>
      <c r="I643" s="39" t="n">
        <f aca="false">H643*'Assumptions &amp; Data'!G777</f>
        <v>1135839.80843339</v>
      </c>
      <c r="J643" s="39" t="n">
        <f aca="false">E643*'Assumptions &amp; Data'!H777</f>
        <v>141574.48</v>
      </c>
      <c r="K643" s="39" t="n">
        <f aca="false">H643*'Assumptions &amp; Data'!I777</f>
        <v>153717.451110704</v>
      </c>
      <c r="L643" s="39" t="n">
        <f aca="false">H643*'Assumptions &amp; Data'!J777</f>
        <v>244139.481175824</v>
      </c>
      <c r="M643" s="39" t="n">
        <f aca="false">I643+J643+K643-L643</f>
        <v>1186992.25836827</v>
      </c>
      <c r="N643" s="39" t="n">
        <f aca="false">E643*'Assumptions &amp; Data'!N777</f>
        <v>507954.88</v>
      </c>
      <c r="O643" s="39" t="n">
        <f aca="false">E643*'Assumptions &amp; Data'!O777</f>
        <v>116570.32</v>
      </c>
      <c r="P643" s="39" t="n">
        <f aca="false">H643*'Assumptions &amp; Data'!P777</f>
        <v>73033.17812952</v>
      </c>
      <c r="Q643" s="39" t="n">
        <f aca="false">M643-N643-O643-P643</f>
        <v>489433.880238752</v>
      </c>
      <c r="R643" s="39" t="n">
        <f aca="false">'Assumptions &amp; Data'!L777*'Assumptions &amp; Data'!M777</f>
        <v>314272</v>
      </c>
      <c r="S643" s="37" t="n">
        <f aca="false">'Assumptions &amp; Data'!Q777</f>
        <v>490000</v>
      </c>
      <c r="T643" s="37" t="n">
        <f aca="false">'Assumptions &amp; Data'!R777</f>
        <v>149348</v>
      </c>
      <c r="U643" s="37" t="n">
        <f aca="false">'Assumptions &amp; Data'!S777</f>
        <v>125140</v>
      </c>
      <c r="V643" s="39" t="n">
        <f aca="false">Q643-R643-S643-T643-U643</f>
        <v>-589326.119761248</v>
      </c>
      <c r="W643" s="39" t="n">
        <f aca="false">DAY(EOMONTH(C643,0))</f>
        <v>30</v>
      </c>
      <c r="X643" s="40" t="n">
        <f aca="false">E643/W643</f>
        <v>385.866666666667</v>
      </c>
      <c r="Y643" s="39" t="n">
        <f aca="false">R643+S643+T643+U643</f>
        <v>1078760</v>
      </c>
    </row>
    <row r="644" customFormat="false" ht="15" hidden="false" customHeight="false" outlineLevel="0" collapsed="false">
      <c r="A644" s="37" t="str">
        <f aca="false">'Assumptions &amp; Data'!A778</f>
        <v>SM0574</v>
      </c>
      <c r="B644" s="37" t="str">
        <f aca="false">'Assumptions &amp; Data'!B778</f>
        <v>DS048</v>
      </c>
      <c r="C644" s="38" t="n">
        <f aca="false">'Assumptions &amp; Data'!C778</f>
        <v>46204</v>
      </c>
      <c r="D644" s="39" t="str">
        <f aca="false">INDEX('Assumptions &amp; Data'!$B$142:$B$201,MATCH(B644,'Assumptions &amp; Data'!$A$142:$A$201,0))</f>
        <v>Pune</v>
      </c>
      <c r="E644" s="37" t="n">
        <f aca="false">'Assumptions &amp; Data'!D778</f>
        <v>11566</v>
      </c>
      <c r="F644" s="39" t="n">
        <f aca="false">E644*'Assumptions &amp; Data'!E778</f>
        <v>7244942.4</v>
      </c>
      <c r="G644" s="39" t="n">
        <f aca="false">F644*'Assumptions &amp; Data'!F778</f>
        <v>420931.15344</v>
      </c>
      <c r="H644" s="39" t="n">
        <f aca="false">F644-G644</f>
        <v>6824011.24656</v>
      </c>
      <c r="I644" s="39" t="n">
        <f aca="false">H644*'Assumptions &amp; Data'!G778</f>
        <v>1101395.41519478</v>
      </c>
      <c r="J644" s="39" t="n">
        <f aca="false">E644*'Assumptions &amp; Data'!H778</f>
        <v>143996.7</v>
      </c>
      <c r="K644" s="39" t="n">
        <f aca="false">H644*'Assumptions &amp; Data'!I778</f>
        <v>144669.038427072</v>
      </c>
      <c r="L644" s="39" t="n">
        <f aca="false">H644*'Assumptions &amp; Data'!J778</f>
        <v>245664.40487616</v>
      </c>
      <c r="M644" s="39" t="n">
        <f aca="false">I644+J644+K644-L644</f>
        <v>1144396.7487457</v>
      </c>
      <c r="N644" s="39" t="n">
        <f aca="false">E644*'Assumptions &amp; Data'!N778</f>
        <v>509366.64</v>
      </c>
      <c r="O644" s="39" t="n">
        <f aca="false">E644*'Assumptions &amp; Data'!O778</f>
        <v>119129.8</v>
      </c>
      <c r="P644" s="39" t="n">
        <f aca="false">H644*'Assumptions &amp; Data'!P778</f>
        <v>67557.711340944</v>
      </c>
      <c r="Q644" s="39" t="n">
        <f aca="false">M644-N644-O644-P644</f>
        <v>448342.597404752</v>
      </c>
      <c r="R644" s="39" t="n">
        <f aca="false">'Assumptions &amp; Data'!L778*'Assumptions &amp; Data'!M778</f>
        <v>334220</v>
      </c>
      <c r="S644" s="37" t="n">
        <f aca="false">'Assumptions &amp; Data'!Q778</f>
        <v>490000</v>
      </c>
      <c r="T644" s="37" t="n">
        <f aca="false">'Assumptions &amp; Data'!R778</f>
        <v>146109</v>
      </c>
      <c r="U644" s="37" t="n">
        <f aca="false">'Assumptions &amp; Data'!S778</f>
        <v>110368</v>
      </c>
      <c r="V644" s="39" t="n">
        <f aca="false">Q644-R644-S644-T644-U644</f>
        <v>-632354.402595248</v>
      </c>
      <c r="W644" s="39" t="n">
        <f aca="false">DAY(EOMONTH(C644,0))</f>
        <v>31</v>
      </c>
      <c r="X644" s="40" t="n">
        <f aca="false">E644/W644</f>
        <v>373.096774193548</v>
      </c>
      <c r="Y644" s="39" t="n">
        <f aca="false">R644+S644+T644+U644</f>
        <v>1080697</v>
      </c>
    </row>
    <row r="645" customFormat="false" ht="15" hidden="false" customHeight="false" outlineLevel="0" collapsed="false">
      <c r="A645" s="37" t="str">
        <f aca="false">'Assumptions &amp; Data'!A779</f>
        <v>SM0575</v>
      </c>
      <c r="B645" s="37" t="str">
        <f aca="false">'Assumptions &amp; Data'!B779</f>
        <v>DS048</v>
      </c>
      <c r="C645" s="38" t="n">
        <f aca="false">'Assumptions &amp; Data'!C779</f>
        <v>46235</v>
      </c>
      <c r="D645" s="39" t="str">
        <f aca="false">INDEX('Assumptions &amp; Data'!$B$142:$B$201,MATCH(B645,'Assumptions &amp; Data'!$A$142:$A$201,0))</f>
        <v>Pune</v>
      </c>
      <c r="E645" s="37" t="n">
        <f aca="false">'Assumptions &amp; Data'!D779</f>
        <v>13214</v>
      </c>
      <c r="F645" s="39" t="n">
        <f aca="false">E645*'Assumptions &amp; Data'!E779</f>
        <v>8241571.8</v>
      </c>
      <c r="G645" s="39" t="n">
        <f aca="false">F645*'Assumptions &amp; Data'!F779</f>
        <v>500263.40826</v>
      </c>
      <c r="H645" s="39" t="n">
        <f aca="false">F645-G645</f>
        <v>7741308.39174</v>
      </c>
      <c r="I645" s="39" t="n">
        <f aca="false">H645*'Assumptions &amp; Data'!G779</f>
        <v>1288153.71638554</v>
      </c>
      <c r="J645" s="39" t="n">
        <f aca="false">E645*'Assumptions &amp; Data'!H779</f>
        <v>163457.18</v>
      </c>
      <c r="K645" s="39" t="n">
        <f aca="false">H645*'Assumptions &amp; Data'!I779</f>
        <v>167212.261261584</v>
      </c>
      <c r="L645" s="39" t="n">
        <f aca="false">H645*'Assumptions &amp; Data'!J779</f>
        <v>274042.317067596</v>
      </c>
      <c r="M645" s="39" t="n">
        <f aca="false">I645+J645+K645-L645</f>
        <v>1344780.84057952</v>
      </c>
      <c r="N645" s="39" t="n">
        <f aca="false">E645*'Assumptions &amp; Data'!N779</f>
        <v>572166.2</v>
      </c>
      <c r="O645" s="39" t="n">
        <f aca="false">E645*'Assumptions &amp; Data'!O779</f>
        <v>128043.66</v>
      </c>
      <c r="P645" s="39" t="n">
        <f aca="false">H645*'Assumptions &amp; Data'!P779</f>
        <v>75864.822239052</v>
      </c>
      <c r="Q645" s="39" t="n">
        <f aca="false">M645-N645-O645-P645</f>
        <v>568706.158340472</v>
      </c>
      <c r="R645" s="39" t="n">
        <f aca="false">'Assumptions &amp; Data'!L779*'Assumptions &amp; Data'!M779</f>
        <v>334509</v>
      </c>
      <c r="S645" s="37" t="n">
        <f aca="false">'Assumptions &amp; Data'!Q779</f>
        <v>490000</v>
      </c>
      <c r="T645" s="37" t="n">
        <f aca="false">'Assumptions &amp; Data'!R779</f>
        <v>149454</v>
      </c>
      <c r="U645" s="37" t="n">
        <f aca="false">'Assumptions &amp; Data'!S779</f>
        <v>127975</v>
      </c>
      <c r="V645" s="39" t="n">
        <f aca="false">Q645-R645-S645-T645-U645</f>
        <v>-533231.841659528</v>
      </c>
      <c r="W645" s="39" t="n">
        <f aca="false">DAY(EOMONTH(C645,0))</f>
        <v>31</v>
      </c>
      <c r="X645" s="40" t="n">
        <f aca="false">E645/W645</f>
        <v>426.258064516129</v>
      </c>
      <c r="Y645" s="39" t="n">
        <f aca="false">R645+S645+T645+U645</f>
        <v>1101938</v>
      </c>
    </row>
    <row r="646" customFormat="false" ht="15" hidden="false" customHeight="false" outlineLevel="0" collapsed="false">
      <c r="A646" s="37" t="str">
        <f aca="false">'Assumptions &amp; Data'!A780</f>
        <v>SM0576</v>
      </c>
      <c r="B646" s="37" t="str">
        <f aca="false">'Assumptions &amp; Data'!B780</f>
        <v>DS048</v>
      </c>
      <c r="C646" s="38" t="n">
        <f aca="false">'Assumptions &amp; Data'!C780</f>
        <v>46266</v>
      </c>
      <c r="D646" s="39" t="str">
        <f aca="false">INDEX('Assumptions &amp; Data'!$B$142:$B$201,MATCH(B646,'Assumptions &amp; Data'!$A$142:$A$201,0))</f>
        <v>Pune</v>
      </c>
      <c r="E646" s="37" t="n">
        <f aca="false">'Assumptions &amp; Data'!D780</f>
        <v>13635</v>
      </c>
      <c r="F646" s="39" t="n">
        <f aca="false">E646*'Assumptions &amp; Data'!E780</f>
        <v>8699130</v>
      </c>
      <c r="G646" s="39" t="n">
        <f aca="false">F646*'Assumptions &amp; Data'!F780</f>
        <v>505419.453</v>
      </c>
      <c r="H646" s="39" t="n">
        <f aca="false">F646-G646</f>
        <v>8193710.547</v>
      </c>
      <c r="I646" s="39" t="n">
        <f aca="false">H646*'Assumptions &amp; Data'!G780</f>
        <v>1338032.9323251</v>
      </c>
      <c r="J646" s="39" t="n">
        <f aca="false">E646*'Assumptions &amp; Data'!H780</f>
        <v>167983.2</v>
      </c>
      <c r="K646" s="39" t="n">
        <f aca="false">H646*'Assumptions &amp; Data'!I780</f>
        <v>172067.921487</v>
      </c>
      <c r="L646" s="39" t="n">
        <f aca="false">H646*'Assumptions &amp; Data'!J780</f>
        <v>280224.9007074</v>
      </c>
      <c r="M646" s="39" t="n">
        <f aca="false">I646+J646+K646-L646</f>
        <v>1397859.1531047</v>
      </c>
      <c r="N646" s="39" t="n">
        <f aca="false">E646*'Assumptions &amp; Data'!N780</f>
        <v>598031.1</v>
      </c>
      <c r="O646" s="39" t="n">
        <f aca="false">E646*'Assumptions &amp; Data'!O780</f>
        <v>127759.95</v>
      </c>
      <c r="P646" s="39" t="n">
        <f aca="false">H646*'Assumptions &amp; Data'!P780</f>
        <v>79478.9923059</v>
      </c>
      <c r="Q646" s="39" t="n">
        <f aca="false">M646-N646-O646-P646</f>
        <v>592589.1107988</v>
      </c>
      <c r="R646" s="39" t="n">
        <f aca="false">'Assumptions &amp; Data'!L780*'Assumptions &amp; Data'!M780</f>
        <v>315120</v>
      </c>
      <c r="S646" s="37" t="n">
        <f aca="false">'Assumptions &amp; Data'!Q780</f>
        <v>490000</v>
      </c>
      <c r="T646" s="37" t="n">
        <f aca="false">'Assumptions &amp; Data'!R780</f>
        <v>143899</v>
      </c>
      <c r="U646" s="37" t="n">
        <f aca="false">'Assumptions &amp; Data'!S780</f>
        <v>122805</v>
      </c>
      <c r="V646" s="39" t="n">
        <f aca="false">Q646-R646-S646-T646-U646</f>
        <v>-479234.8892012</v>
      </c>
      <c r="W646" s="39" t="n">
        <f aca="false">DAY(EOMONTH(C646,0))</f>
        <v>30</v>
      </c>
      <c r="X646" s="40" t="n">
        <f aca="false">E646/W646</f>
        <v>454.5</v>
      </c>
      <c r="Y646" s="39" t="n">
        <f aca="false">R646+S646+T646+U646</f>
        <v>1071824</v>
      </c>
    </row>
    <row r="647" customFormat="false" ht="15" hidden="false" customHeight="false" outlineLevel="0" collapsed="false">
      <c r="A647" s="37" t="str">
        <f aca="false">'Assumptions &amp; Data'!A781</f>
        <v>SM0577</v>
      </c>
      <c r="B647" s="37" t="str">
        <f aca="false">'Assumptions &amp; Data'!B781</f>
        <v>DS049</v>
      </c>
      <c r="C647" s="38" t="n">
        <f aca="false">'Assumptions &amp; Data'!C781</f>
        <v>45931</v>
      </c>
      <c r="D647" s="39" t="str">
        <f aca="false">INDEX('Assumptions &amp; Data'!$B$142:$B$201,MATCH(B647,'Assumptions &amp; Data'!$A$142:$A$201,0))</f>
        <v>Pune</v>
      </c>
      <c r="E647" s="37" t="n">
        <f aca="false">'Assumptions &amp; Data'!D781</f>
        <v>18570</v>
      </c>
      <c r="F647" s="39" t="n">
        <f aca="false">E647*'Assumptions &amp; Data'!E781</f>
        <v>10098366</v>
      </c>
      <c r="G647" s="39" t="n">
        <f aca="false">F647*'Assumptions &amp; Data'!F781</f>
        <v>561469.1496</v>
      </c>
      <c r="H647" s="39" t="n">
        <f aca="false">F647-G647</f>
        <v>9536896.8504</v>
      </c>
      <c r="I647" s="39" t="n">
        <f aca="false">H647*'Assumptions &amp; Data'!G781</f>
        <v>1565004.77315064</v>
      </c>
      <c r="J647" s="39" t="n">
        <f aca="false">E647*'Assumptions &amp; Data'!H781</f>
        <v>268150.8</v>
      </c>
      <c r="K647" s="39" t="n">
        <f aca="false">H647*'Assumptions &amp; Data'!I781</f>
        <v>247005.62842536</v>
      </c>
      <c r="L647" s="39" t="n">
        <f aca="false">H647*'Assumptions &amp; Data'!J781</f>
        <v>237468.73157496</v>
      </c>
      <c r="M647" s="39" t="n">
        <f aca="false">I647+J647+K647-L647</f>
        <v>1842692.47000104</v>
      </c>
      <c r="N647" s="39" t="n">
        <f aca="false">E647*'Assumptions &amp; Data'!N781</f>
        <v>784768.2</v>
      </c>
      <c r="O647" s="39" t="n">
        <f aca="false">E647*'Assumptions &amp; Data'!O781</f>
        <v>182914.5</v>
      </c>
      <c r="P647" s="39" t="n">
        <f aca="false">H647*'Assumptions &amp; Data'!P781</f>
        <v>94415.27881896</v>
      </c>
      <c r="Q647" s="39" t="n">
        <f aca="false">M647-N647-O647-P647</f>
        <v>780594.49118208</v>
      </c>
      <c r="R647" s="39" t="n">
        <f aca="false">'Assumptions &amp; Data'!L781*'Assumptions &amp; Data'!M781</f>
        <v>370500</v>
      </c>
      <c r="S647" s="37" t="n">
        <f aca="false">'Assumptions &amp; Data'!Q781</f>
        <v>174000</v>
      </c>
      <c r="T647" s="37" t="n">
        <f aca="false">'Assumptions &amp; Data'!R781</f>
        <v>146067</v>
      </c>
      <c r="U647" s="37" t="n">
        <f aca="false">'Assumptions &amp; Data'!S781</f>
        <v>105697</v>
      </c>
      <c r="V647" s="39" t="n">
        <f aca="false">Q647-R647-S647-T647-U647</f>
        <v>-15669.50881792</v>
      </c>
      <c r="W647" s="39" t="n">
        <f aca="false">DAY(EOMONTH(C647,0))</f>
        <v>31</v>
      </c>
      <c r="X647" s="40" t="n">
        <f aca="false">E647/W647</f>
        <v>599.032258064516</v>
      </c>
      <c r="Y647" s="39" t="n">
        <f aca="false">R647+S647+T647+U647</f>
        <v>796264</v>
      </c>
    </row>
    <row r="648" customFormat="false" ht="15" hidden="false" customHeight="false" outlineLevel="0" collapsed="false">
      <c r="A648" s="37" t="str">
        <f aca="false">'Assumptions &amp; Data'!A782</f>
        <v>SM0578</v>
      </c>
      <c r="B648" s="37" t="str">
        <f aca="false">'Assumptions &amp; Data'!B782</f>
        <v>DS049</v>
      </c>
      <c r="C648" s="38" t="n">
        <f aca="false">'Assumptions &amp; Data'!C782</f>
        <v>45962</v>
      </c>
      <c r="D648" s="39" t="str">
        <f aca="false">INDEX('Assumptions &amp; Data'!$B$142:$B$201,MATCH(B648,'Assumptions &amp; Data'!$A$142:$A$201,0))</f>
        <v>Pune</v>
      </c>
      <c r="E648" s="37" t="n">
        <f aca="false">'Assumptions &amp; Data'!D782</f>
        <v>17771</v>
      </c>
      <c r="F648" s="39" t="n">
        <f aca="false">E648*'Assumptions &amp; Data'!E782</f>
        <v>9820254.6</v>
      </c>
      <c r="G648" s="39" t="n">
        <f aca="false">F648*'Assumptions &amp; Data'!F782</f>
        <v>500832.9846</v>
      </c>
      <c r="H648" s="39" t="n">
        <f aca="false">F648-G648</f>
        <v>9319421.6154</v>
      </c>
      <c r="I648" s="39" t="n">
        <f aca="false">H648*'Assumptions &amp; Data'!G782</f>
        <v>1577778.07948722</v>
      </c>
      <c r="J648" s="39" t="n">
        <f aca="false">E648*'Assumptions &amp; Data'!H782</f>
        <v>262299.96</v>
      </c>
      <c r="K648" s="39" t="n">
        <f aca="false">H648*'Assumptions &amp; Data'!I782</f>
        <v>227393.88741576</v>
      </c>
      <c r="L648" s="39" t="n">
        <f aca="false">H648*'Assumptions &amp; Data'!J782</f>
        <v>227393.88741576</v>
      </c>
      <c r="M648" s="39" t="n">
        <f aca="false">I648+J648+K648-L648</f>
        <v>1840078.03948722</v>
      </c>
      <c r="N648" s="39" t="n">
        <f aca="false">E648*'Assumptions &amp; Data'!N782</f>
        <v>746737.42</v>
      </c>
      <c r="O648" s="39" t="n">
        <f aca="false">E648*'Assumptions &amp; Data'!O782</f>
        <v>169890.76</v>
      </c>
      <c r="P648" s="39" t="n">
        <f aca="false">H648*'Assumptions &amp; Data'!P782</f>
        <v>88534.5053463</v>
      </c>
      <c r="Q648" s="39" t="n">
        <f aca="false">M648-N648-O648-P648</f>
        <v>834915.35414092</v>
      </c>
      <c r="R648" s="39" t="n">
        <f aca="false">'Assumptions &amp; Data'!L782*'Assumptions &amp; Data'!M782</f>
        <v>351324</v>
      </c>
      <c r="S648" s="37" t="n">
        <f aca="false">'Assumptions &amp; Data'!Q782</f>
        <v>174000</v>
      </c>
      <c r="T648" s="37" t="n">
        <f aca="false">'Assumptions &amp; Data'!R782</f>
        <v>133995</v>
      </c>
      <c r="U648" s="37" t="n">
        <f aca="false">'Assumptions &amp; Data'!S782</f>
        <v>101921</v>
      </c>
      <c r="V648" s="39" t="n">
        <f aca="false">Q648-R648-S648-T648-U648</f>
        <v>73675.35414092</v>
      </c>
      <c r="W648" s="39" t="n">
        <f aca="false">DAY(EOMONTH(C648,0))</f>
        <v>30</v>
      </c>
      <c r="X648" s="40" t="n">
        <f aca="false">E648/W648</f>
        <v>592.366666666667</v>
      </c>
      <c r="Y648" s="39" t="n">
        <f aca="false">R648+S648+T648+U648</f>
        <v>761240</v>
      </c>
    </row>
    <row r="649" customFormat="false" ht="15" hidden="false" customHeight="false" outlineLevel="0" collapsed="false">
      <c r="A649" s="37" t="str">
        <f aca="false">'Assumptions &amp; Data'!A783</f>
        <v>SM0579</v>
      </c>
      <c r="B649" s="37" t="str">
        <f aca="false">'Assumptions &amp; Data'!B783</f>
        <v>DS049</v>
      </c>
      <c r="C649" s="38" t="n">
        <f aca="false">'Assumptions &amp; Data'!C783</f>
        <v>45992</v>
      </c>
      <c r="D649" s="39" t="str">
        <f aca="false">INDEX('Assumptions &amp; Data'!$B$142:$B$201,MATCH(B649,'Assumptions &amp; Data'!$A$142:$A$201,0))</f>
        <v>Pune</v>
      </c>
      <c r="E649" s="37" t="n">
        <f aca="false">'Assumptions &amp; Data'!D783</f>
        <v>18038</v>
      </c>
      <c r="F649" s="39" t="n">
        <f aca="false">E649*'Assumptions &amp; Data'!E783</f>
        <v>10144571.2</v>
      </c>
      <c r="G649" s="39" t="n">
        <f aca="false">F649*'Assumptions &amp; Data'!F783</f>
        <v>529546.61664</v>
      </c>
      <c r="H649" s="39" t="n">
        <f aca="false">F649-G649</f>
        <v>9615024.58336</v>
      </c>
      <c r="I649" s="39" t="n">
        <f aca="false">H649*'Assumptions &amp; Data'!G783</f>
        <v>1632631.17425453</v>
      </c>
      <c r="J649" s="39" t="n">
        <f aca="false">E649*'Assumptions &amp; Data'!H783</f>
        <v>275440.26</v>
      </c>
      <c r="K649" s="39" t="n">
        <f aca="false">H649*'Assumptions &amp; Data'!I783</f>
        <v>215376.550667264</v>
      </c>
      <c r="L649" s="39" t="n">
        <f aca="false">H649*'Assumptions &amp; Data'!J783</f>
        <v>222107.067875616</v>
      </c>
      <c r="M649" s="39" t="n">
        <f aca="false">I649+J649+K649-L649</f>
        <v>1901340.91704618</v>
      </c>
      <c r="N649" s="39" t="n">
        <f aca="false">E649*'Assumptions &amp; Data'!N783</f>
        <v>772026.4</v>
      </c>
      <c r="O649" s="39" t="n">
        <f aca="false">E649*'Assumptions &amp; Data'!O783</f>
        <v>176772.4</v>
      </c>
      <c r="P649" s="39" t="n">
        <f aca="false">H649*'Assumptions &amp; Data'!P783</f>
        <v>98073.250750272</v>
      </c>
      <c r="Q649" s="39" t="n">
        <f aca="false">M649-N649-O649-P649</f>
        <v>854468.866295904</v>
      </c>
      <c r="R649" s="39" t="n">
        <f aca="false">'Assumptions &amp; Data'!L783*'Assumptions &amp; Data'!M783</f>
        <v>332095</v>
      </c>
      <c r="S649" s="37" t="n">
        <f aca="false">'Assumptions &amp; Data'!Q783</f>
        <v>174000</v>
      </c>
      <c r="T649" s="37" t="n">
        <f aca="false">'Assumptions &amp; Data'!R783</f>
        <v>145659</v>
      </c>
      <c r="U649" s="37" t="n">
        <f aca="false">'Assumptions &amp; Data'!S783</f>
        <v>103220</v>
      </c>
      <c r="V649" s="39" t="n">
        <f aca="false">Q649-R649-S649-T649-U649</f>
        <v>99494.8662959042</v>
      </c>
      <c r="W649" s="39" t="n">
        <f aca="false">DAY(EOMONTH(C649,0))</f>
        <v>31</v>
      </c>
      <c r="X649" s="40" t="n">
        <f aca="false">E649/W649</f>
        <v>581.870967741936</v>
      </c>
      <c r="Y649" s="39" t="n">
        <f aca="false">R649+S649+T649+U649</f>
        <v>754974</v>
      </c>
    </row>
    <row r="650" customFormat="false" ht="15" hidden="false" customHeight="false" outlineLevel="0" collapsed="false">
      <c r="A650" s="37" t="str">
        <f aca="false">'Assumptions &amp; Data'!A784</f>
        <v>SM0580</v>
      </c>
      <c r="B650" s="37" t="str">
        <f aca="false">'Assumptions &amp; Data'!B784</f>
        <v>DS049</v>
      </c>
      <c r="C650" s="38" t="n">
        <f aca="false">'Assumptions &amp; Data'!C784</f>
        <v>46023</v>
      </c>
      <c r="D650" s="39" t="str">
        <f aca="false">INDEX('Assumptions &amp; Data'!$B$142:$B$201,MATCH(B650,'Assumptions &amp; Data'!$A$142:$A$201,0))</f>
        <v>Pune</v>
      </c>
      <c r="E650" s="37" t="n">
        <f aca="false">'Assumptions &amp; Data'!D784</f>
        <v>17640</v>
      </c>
      <c r="F650" s="39" t="n">
        <f aca="false">E650*'Assumptions &amp; Data'!E784</f>
        <v>9724932</v>
      </c>
      <c r="G650" s="39" t="n">
        <f aca="false">F650*'Assumptions &amp; Data'!F784</f>
        <v>504723.9708</v>
      </c>
      <c r="H650" s="39" t="n">
        <f aca="false">F650-G650</f>
        <v>9220208.0292</v>
      </c>
      <c r="I650" s="39" t="n">
        <f aca="false">H650*'Assumptions &amp; Data'!G784</f>
        <v>1558215.1569348</v>
      </c>
      <c r="J650" s="39" t="n">
        <f aca="false">E650*'Assumptions &amp; Data'!H784</f>
        <v>254368.8</v>
      </c>
      <c r="K650" s="39" t="n">
        <f aca="false">H650*'Assumptions &amp; Data'!I784</f>
        <v>222207.01350372</v>
      </c>
      <c r="L650" s="39" t="n">
        <f aca="false">H650*'Assumptions &amp; Data'!J784</f>
        <v>214830.84708036</v>
      </c>
      <c r="M650" s="39" t="n">
        <f aca="false">I650+J650+K650-L650</f>
        <v>1819960.12335816</v>
      </c>
      <c r="N650" s="39" t="n">
        <f aca="false">E650*'Assumptions &amp; Data'!N784</f>
        <v>755344.8</v>
      </c>
      <c r="O650" s="39" t="n">
        <f aca="false">E650*'Assumptions &amp; Data'!O784</f>
        <v>179046</v>
      </c>
      <c r="P650" s="39" t="n">
        <f aca="false">H650*'Assumptions &amp; Data'!P784</f>
        <v>90358.03868616</v>
      </c>
      <c r="Q650" s="39" t="n">
        <f aca="false">M650-N650-O650-P650</f>
        <v>795211.284672</v>
      </c>
      <c r="R650" s="39" t="n">
        <f aca="false">'Assumptions &amp; Data'!L784*'Assumptions &amp; Data'!M784</f>
        <v>351954</v>
      </c>
      <c r="S650" s="37" t="n">
        <f aca="false">'Assumptions &amp; Data'!Q784</f>
        <v>174000</v>
      </c>
      <c r="T650" s="37" t="n">
        <f aca="false">'Assumptions &amp; Data'!R784</f>
        <v>138625</v>
      </c>
      <c r="U650" s="37" t="n">
        <f aca="false">'Assumptions &amp; Data'!S784</f>
        <v>89250</v>
      </c>
      <c r="V650" s="39" t="n">
        <f aca="false">Q650-R650-S650-T650-U650</f>
        <v>41382.2846720004</v>
      </c>
      <c r="W650" s="39" t="n">
        <f aca="false">DAY(EOMONTH(C650,0))</f>
        <v>31</v>
      </c>
      <c r="X650" s="40" t="n">
        <f aca="false">E650/W650</f>
        <v>569.032258064516</v>
      </c>
      <c r="Y650" s="39" t="n">
        <f aca="false">R650+S650+T650+U650</f>
        <v>753829</v>
      </c>
    </row>
    <row r="651" customFormat="false" ht="15" hidden="false" customHeight="false" outlineLevel="0" collapsed="false">
      <c r="A651" s="37" t="str">
        <f aca="false">'Assumptions &amp; Data'!A785</f>
        <v>SM0581</v>
      </c>
      <c r="B651" s="37" t="str">
        <f aca="false">'Assumptions &amp; Data'!B785</f>
        <v>DS049</v>
      </c>
      <c r="C651" s="38" t="n">
        <f aca="false">'Assumptions &amp; Data'!C785</f>
        <v>46054</v>
      </c>
      <c r="D651" s="39" t="str">
        <f aca="false">INDEX('Assumptions &amp; Data'!$B$142:$B$201,MATCH(B651,'Assumptions &amp; Data'!$A$142:$A$201,0))</f>
        <v>Pune</v>
      </c>
      <c r="E651" s="37" t="n">
        <f aca="false">'Assumptions &amp; Data'!D785</f>
        <v>16430</v>
      </c>
      <c r="F651" s="39" t="n">
        <f aca="false">E651*'Assumptions &amp; Data'!E785</f>
        <v>8865628</v>
      </c>
      <c r="G651" s="39" t="n">
        <f aca="false">F651*'Assumptions &amp; Data'!F785</f>
        <v>465445.47</v>
      </c>
      <c r="H651" s="39" t="n">
        <f aca="false">F651-G651</f>
        <v>8400182.53</v>
      </c>
      <c r="I651" s="39" t="n">
        <f aca="false">H651*'Assumptions &amp; Data'!G785</f>
        <v>1410390.646787</v>
      </c>
      <c r="J651" s="39" t="n">
        <f aca="false">E651*'Assumptions &amp; Data'!H785</f>
        <v>233634.6</v>
      </c>
      <c r="K651" s="39" t="n">
        <f aca="false">H651*'Assumptions &amp; Data'!I785</f>
        <v>194884.234696</v>
      </c>
      <c r="L651" s="39" t="n">
        <f aca="false">H651*'Assumptions &amp; Data'!J785</f>
        <v>207484.508491</v>
      </c>
      <c r="M651" s="39" t="n">
        <f aca="false">I651+J651+K651-L651</f>
        <v>1631424.972992</v>
      </c>
      <c r="N651" s="39" t="n">
        <f aca="false">E651*'Assumptions &amp; Data'!N785</f>
        <v>699589.4</v>
      </c>
      <c r="O651" s="39" t="n">
        <f aca="false">E651*'Assumptions &amp; Data'!O785</f>
        <v>163314.2</v>
      </c>
      <c r="P651" s="39" t="n">
        <f aca="false">H651*'Assumptions &amp; Data'!P785</f>
        <v>84841.843553</v>
      </c>
      <c r="Q651" s="39" t="n">
        <f aca="false">M651-N651-O651-P651</f>
        <v>683679.529439</v>
      </c>
      <c r="R651" s="39" t="n">
        <f aca="false">'Assumptions &amp; Data'!L785*'Assumptions &amp; Data'!M785</f>
        <v>352278</v>
      </c>
      <c r="S651" s="37" t="n">
        <f aca="false">'Assumptions &amp; Data'!Q785</f>
        <v>174000</v>
      </c>
      <c r="T651" s="37" t="n">
        <f aca="false">'Assumptions &amp; Data'!R785</f>
        <v>133252</v>
      </c>
      <c r="U651" s="37" t="n">
        <f aca="false">'Assumptions &amp; Data'!S785</f>
        <v>79304</v>
      </c>
      <c r="V651" s="39" t="n">
        <f aca="false">Q651-R651-S651-T651-U651</f>
        <v>-55154.4705610001</v>
      </c>
      <c r="W651" s="39" t="n">
        <f aca="false">DAY(EOMONTH(C651,0))</f>
        <v>28</v>
      </c>
      <c r="X651" s="40" t="n">
        <f aca="false">E651/W651</f>
        <v>586.785714285714</v>
      </c>
      <c r="Y651" s="39" t="n">
        <f aca="false">R651+S651+T651+U651</f>
        <v>738834</v>
      </c>
    </row>
    <row r="652" customFormat="false" ht="15" hidden="false" customHeight="false" outlineLevel="0" collapsed="false">
      <c r="A652" s="37" t="str">
        <f aca="false">'Assumptions &amp; Data'!A786</f>
        <v>SM0582</v>
      </c>
      <c r="B652" s="37" t="str">
        <f aca="false">'Assumptions &amp; Data'!B786</f>
        <v>DS049</v>
      </c>
      <c r="C652" s="38" t="n">
        <f aca="false">'Assumptions &amp; Data'!C786</f>
        <v>46082</v>
      </c>
      <c r="D652" s="39" t="str">
        <f aca="false">INDEX('Assumptions &amp; Data'!$B$142:$B$201,MATCH(B652,'Assumptions &amp; Data'!$A$142:$A$201,0))</f>
        <v>Pune</v>
      </c>
      <c r="E652" s="37" t="n">
        <f aca="false">'Assumptions &amp; Data'!D786</f>
        <v>18552</v>
      </c>
      <c r="F652" s="39" t="n">
        <f aca="false">E652*'Assumptions &amp; Data'!E786</f>
        <v>10331608.8</v>
      </c>
      <c r="G652" s="39" t="n">
        <f aca="false">F652*'Assumptions &amp; Data'!F786</f>
        <v>574437.44928</v>
      </c>
      <c r="H652" s="39" t="n">
        <f aca="false">F652-G652</f>
        <v>9757171.35072</v>
      </c>
      <c r="I652" s="39" t="n">
        <f aca="false">H652*'Assumptions &amp; Data'!G786</f>
        <v>1648961.95827168</v>
      </c>
      <c r="J652" s="39" t="n">
        <f aca="false">E652*'Assumptions &amp; Data'!H786</f>
        <v>270859.2</v>
      </c>
      <c r="K652" s="39" t="n">
        <f aca="false">H652*'Assumptions &amp; Data'!I786</f>
        <v>235147.829552352</v>
      </c>
      <c r="L652" s="39" t="n">
        <f aca="false">H652*'Assumptions &amp; Data'!J786</f>
        <v>226366.375336704</v>
      </c>
      <c r="M652" s="39" t="n">
        <f aca="false">I652+J652+K652-L652</f>
        <v>1928602.61248733</v>
      </c>
      <c r="N652" s="39" t="n">
        <f aca="false">E652*'Assumptions &amp; Data'!N786</f>
        <v>778070.88</v>
      </c>
      <c r="O652" s="39" t="n">
        <f aca="false">E652*'Assumptions &amp; Data'!O786</f>
        <v>182366.16</v>
      </c>
      <c r="P652" s="39" t="n">
        <f aca="false">H652*'Assumptions &amp; Data'!P786</f>
        <v>99523.147777344</v>
      </c>
      <c r="Q652" s="39" t="n">
        <f aca="false">M652-N652-O652-P652</f>
        <v>868642.424709984</v>
      </c>
      <c r="R652" s="39" t="n">
        <f aca="false">'Assumptions &amp; Data'!L786*'Assumptions &amp; Data'!M786</f>
        <v>352602</v>
      </c>
      <c r="S652" s="37" t="n">
        <f aca="false">'Assumptions &amp; Data'!Q786</f>
        <v>174000</v>
      </c>
      <c r="T652" s="37" t="n">
        <f aca="false">'Assumptions &amp; Data'!R786</f>
        <v>137516</v>
      </c>
      <c r="U652" s="37" t="n">
        <f aca="false">'Assumptions &amp; Data'!S786</f>
        <v>87178</v>
      </c>
      <c r="V652" s="39" t="n">
        <f aca="false">Q652-R652-S652-T652-U652</f>
        <v>117346.424709984</v>
      </c>
      <c r="W652" s="39" t="n">
        <f aca="false">DAY(EOMONTH(C652,0))</f>
        <v>31</v>
      </c>
      <c r="X652" s="40" t="n">
        <f aca="false">E652/W652</f>
        <v>598.451612903226</v>
      </c>
      <c r="Y652" s="39" t="n">
        <f aca="false">R652+S652+T652+U652</f>
        <v>751296</v>
      </c>
    </row>
    <row r="653" customFormat="false" ht="15" hidden="false" customHeight="false" outlineLevel="0" collapsed="false">
      <c r="A653" s="37" t="str">
        <f aca="false">'Assumptions &amp; Data'!A787</f>
        <v>SM0583</v>
      </c>
      <c r="B653" s="37" t="str">
        <f aca="false">'Assumptions &amp; Data'!B787</f>
        <v>DS049</v>
      </c>
      <c r="C653" s="38" t="n">
        <f aca="false">'Assumptions &amp; Data'!C787</f>
        <v>46113</v>
      </c>
      <c r="D653" s="39" t="str">
        <f aca="false">INDEX('Assumptions &amp; Data'!$B$142:$B$201,MATCH(B653,'Assumptions &amp; Data'!$A$142:$A$201,0))</f>
        <v>Pune</v>
      </c>
      <c r="E653" s="37" t="n">
        <f aca="false">'Assumptions &amp; Data'!D787</f>
        <v>19244</v>
      </c>
      <c r="F653" s="39" t="n">
        <f aca="false">E653*'Assumptions &amp; Data'!E787</f>
        <v>10593822</v>
      </c>
      <c r="G653" s="39" t="n">
        <f aca="false">F653*'Assumptions &amp; Data'!F787</f>
        <v>550878.744</v>
      </c>
      <c r="H653" s="39" t="n">
        <f aca="false">F653-G653</f>
        <v>10042943.256</v>
      </c>
      <c r="I653" s="39" t="n">
        <f aca="false">H653*'Assumptions &amp; Data'!G787</f>
        <v>1661102.8145424</v>
      </c>
      <c r="J653" s="39" t="n">
        <f aca="false">E653*'Assumptions &amp; Data'!H787</f>
        <v>285196.08</v>
      </c>
      <c r="K653" s="39" t="n">
        <f aca="false">H653*'Assumptions &amp; Data'!I787</f>
        <v>217931.8686552</v>
      </c>
      <c r="L653" s="39" t="n">
        <f aca="false">H653*'Assumptions &amp; Data'!J787</f>
        <v>218936.1629808</v>
      </c>
      <c r="M653" s="39" t="n">
        <f aca="false">I653+J653+K653-L653</f>
        <v>1945294.6002168</v>
      </c>
      <c r="N653" s="39" t="n">
        <f aca="false">E653*'Assumptions &amp; Data'!N787</f>
        <v>794584.76</v>
      </c>
      <c r="O653" s="39" t="n">
        <f aca="false">E653*'Assumptions &amp; Data'!O787</f>
        <v>192824.88</v>
      </c>
      <c r="P653" s="39" t="n">
        <f aca="false">H653*'Assumptions &amp; Data'!P787</f>
        <v>99425.1382344</v>
      </c>
      <c r="Q653" s="39" t="n">
        <f aca="false">M653-N653-O653-P653</f>
        <v>858459.8219824</v>
      </c>
      <c r="R653" s="39" t="n">
        <f aca="false">'Assumptions &amp; Data'!L787*'Assumptions &amp; Data'!M787</f>
        <v>411726</v>
      </c>
      <c r="S653" s="37" t="n">
        <f aca="false">'Assumptions &amp; Data'!Q787</f>
        <v>174000</v>
      </c>
      <c r="T653" s="37" t="n">
        <f aca="false">'Assumptions &amp; Data'!R787</f>
        <v>127349</v>
      </c>
      <c r="U653" s="37" t="n">
        <f aca="false">'Assumptions &amp; Data'!S787</f>
        <v>84034</v>
      </c>
      <c r="V653" s="39" t="n">
        <f aca="false">Q653-R653-S653-T653-U653</f>
        <v>61350.8219824003</v>
      </c>
      <c r="W653" s="39" t="n">
        <f aca="false">DAY(EOMONTH(C653,0))</f>
        <v>30</v>
      </c>
      <c r="X653" s="40" t="n">
        <f aca="false">E653/W653</f>
        <v>641.466666666667</v>
      </c>
      <c r="Y653" s="39" t="n">
        <f aca="false">R653+S653+T653+U653</f>
        <v>797109</v>
      </c>
    </row>
    <row r="654" customFormat="false" ht="15" hidden="false" customHeight="false" outlineLevel="0" collapsed="false">
      <c r="A654" s="37" t="str">
        <f aca="false">'Assumptions &amp; Data'!A788</f>
        <v>SM0584</v>
      </c>
      <c r="B654" s="37" t="str">
        <f aca="false">'Assumptions &amp; Data'!B788</f>
        <v>DS049</v>
      </c>
      <c r="C654" s="38" t="n">
        <f aca="false">'Assumptions &amp; Data'!C788</f>
        <v>46143</v>
      </c>
      <c r="D654" s="39" t="str">
        <f aca="false">INDEX('Assumptions &amp; Data'!$B$142:$B$201,MATCH(B654,'Assumptions &amp; Data'!$A$142:$A$201,0))</f>
        <v>Pune</v>
      </c>
      <c r="E654" s="37" t="n">
        <f aca="false">'Assumptions &amp; Data'!D788</f>
        <v>21681</v>
      </c>
      <c r="F654" s="39" t="n">
        <f aca="false">E654*'Assumptions &amp; Data'!E788</f>
        <v>12015610.2</v>
      </c>
      <c r="G654" s="39" t="n">
        <f aca="false">F654*'Assumptions &amp; Data'!F788</f>
        <v>696905.3916</v>
      </c>
      <c r="H654" s="39" t="n">
        <f aca="false">F654-G654</f>
        <v>11318704.8084</v>
      </c>
      <c r="I654" s="39" t="n">
        <f aca="false">H654*'Assumptions &amp; Data'!G788</f>
        <v>1920784.20598548</v>
      </c>
      <c r="J654" s="39" t="n">
        <f aca="false">E654*'Assumptions &amp; Data'!H788</f>
        <v>325431.81</v>
      </c>
      <c r="K654" s="39" t="n">
        <f aca="false">H654*'Assumptions &amp; Data'!I788</f>
        <v>270517.04492076</v>
      </c>
      <c r="L654" s="39" t="n">
        <f aca="false">H654*'Assumptions &amp; Data'!J788</f>
        <v>234297.18953388</v>
      </c>
      <c r="M654" s="39" t="n">
        <f aca="false">I654+J654+K654-L654</f>
        <v>2282435.87137236</v>
      </c>
      <c r="N654" s="39" t="n">
        <f aca="false">E654*'Assumptions &amp; Data'!N788</f>
        <v>900195.12</v>
      </c>
      <c r="O654" s="39" t="n">
        <f aca="false">E654*'Assumptions &amp; Data'!O788</f>
        <v>220495.77</v>
      </c>
      <c r="P654" s="39" t="n">
        <f aca="false">H654*'Assumptions &amp; Data'!P788</f>
        <v>115450.78904568</v>
      </c>
      <c r="Q654" s="39" t="n">
        <f aca="false">M654-N654-O654-P654</f>
        <v>1046294.19232668</v>
      </c>
      <c r="R654" s="39" t="n">
        <f aca="false">'Assumptions &amp; Data'!L788*'Assumptions &amp; Data'!M788</f>
        <v>412104</v>
      </c>
      <c r="S654" s="37" t="n">
        <f aca="false">'Assumptions &amp; Data'!Q788</f>
        <v>174000</v>
      </c>
      <c r="T654" s="37" t="n">
        <f aca="false">'Assumptions &amp; Data'!R788</f>
        <v>146040</v>
      </c>
      <c r="U654" s="37" t="n">
        <f aca="false">'Assumptions &amp; Data'!S788</f>
        <v>106381</v>
      </c>
      <c r="V654" s="39" t="n">
        <f aca="false">Q654-R654-S654-T654-U654</f>
        <v>207769.19232668</v>
      </c>
      <c r="W654" s="39" t="n">
        <f aca="false">DAY(EOMONTH(C654,0))</f>
        <v>31</v>
      </c>
      <c r="X654" s="40" t="n">
        <f aca="false">E654/W654</f>
        <v>699.387096774194</v>
      </c>
      <c r="Y654" s="39" t="n">
        <f aca="false">R654+S654+T654+U654</f>
        <v>838525</v>
      </c>
    </row>
    <row r="655" customFormat="false" ht="15" hidden="false" customHeight="false" outlineLevel="0" collapsed="false">
      <c r="A655" s="37" t="str">
        <f aca="false">'Assumptions &amp; Data'!A789</f>
        <v>SM0585</v>
      </c>
      <c r="B655" s="37" t="str">
        <f aca="false">'Assumptions &amp; Data'!B789</f>
        <v>DS049</v>
      </c>
      <c r="C655" s="38" t="n">
        <f aca="false">'Assumptions &amp; Data'!C789</f>
        <v>46174</v>
      </c>
      <c r="D655" s="39" t="str">
        <f aca="false">INDEX('Assumptions &amp; Data'!$B$142:$B$201,MATCH(B655,'Assumptions &amp; Data'!$A$142:$A$201,0))</f>
        <v>Pune</v>
      </c>
      <c r="E655" s="37" t="n">
        <f aca="false">'Assumptions &amp; Data'!D789</f>
        <v>21124</v>
      </c>
      <c r="F655" s="39" t="n">
        <f aca="false">E655*'Assumptions &amp; Data'!E789</f>
        <v>11725932.4</v>
      </c>
      <c r="G655" s="39" t="n">
        <f aca="false">F655*'Assumptions &amp; Data'!F789</f>
        <v>626164.79016</v>
      </c>
      <c r="H655" s="39" t="n">
        <f aca="false">F655-G655</f>
        <v>11099767.60984</v>
      </c>
      <c r="I655" s="39" t="n">
        <f aca="false">H655*'Assumptions &amp; Data'!G789</f>
        <v>1884740.54015083</v>
      </c>
      <c r="J655" s="39" t="n">
        <f aca="false">E655*'Assumptions &amp; Data'!H789</f>
        <v>313480.16</v>
      </c>
      <c r="K655" s="39" t="n">
        <f aca="false">H655*'Assumptions &amp; Data'!I789</f>
        <v>284154.050811904</v>
      </c>
      <c r="L655" s="39" t="n">
        <f aca="false">H655*'Assumptions &amp; Data'!J789</f>
        <v>248634.794460416</v>
      </c>
      <c r="M655" s="39" t="n">
        <f aca="false">I655+J655+K655-L655</f>
        <v>2233739.95650232</v>
      </c>
      <c r="N655" s="39" t="n">
        <f aca="false">E655*'Assumptions &amp; Data'!N789</f>
        <v>874322.36</v>
      </c>
      <c r="O655" s="39" t="n">
        <f aca="false">E655*'Assumptions &amp; Data'!O789</f>
        <v>211662.48</v>
      </c>
      <c r="P655" s="39" t="n">
        <f aca="false">H655*'Assumptions &amp; Data'!P789</f>
        <v>117657.536664304</v>
      </c>
      <c r="Q655" s="39" t="n">
        <f aca="false">M655-N655-O655-P655</f>
        <v>1030097.57983802</v>
      </c>
      <c r="R655" s="39" t="n">
        <f aca="false">'Assumptions &amp; Data'!L789*'Assumptions &amp; Data'!M789</f>
        <v>432124</v>
      </c>
      <c r="S655" s="37" t="n">
        <f aca="false">'Assumptions &amp; Data'!Q789</f>
        <v>174000</v>
      </c>
      <c r="T655" s="37" t="n">
        <f aca="false">'Assumptions &amp; Data'!R789</f>
        <v>125546</v>
      </c>
      <c r="U655" s="37" t="n">
        <f aca="false">'Assumptions &amp; Data'!S789</f>
        <v>95506</v>
      </c>
      <c r="V655" s="39" t="n">
        <f aca="false">Q655-R655-S655-T655-U655</f>
        <v>202921.579838016</v>
      </c>
      <c r="W655" s="39" t="n">
        <f aca="false">DAY(EOMONTH(C655,0))</f>
        <v>30</v>
      </c>
      <c r="X655" s="40" t="n">
        <f aca="false">E655/W655</f>
        <v>704.133333333333</v>
      </c>
      <c r="Y655" s="39" t="n">
        <f aca="false">R655+S655+T655+U655</f>
        <v>827176</v>
      </c>
    </row>
    <row r="656" customFormat="false" ht="15" hidden="false" customHeight="false" outlineLevel="0" collapsed="false">
      <c r="A656" s="37" t="str">
        <f aca="false">'Assumptions &amp; Data'!A790</f>
        <v>SM0586</v>
      </c>
      <c r="B656" s="37" t="str">
        <f aca="false">'Assumptions &amp; Data'!B790</f>
        <v>DS049</v>
      </c>
      <c r="C656" s="38" t="n">
        <f aca="false">'Assumptions &amp; Data'!C790</f>
        <v>46204</v>
      </c>
      <c r="D656" s="39" t="str">
        <f aca="false">INDEX('Assumptions &amp; Data'!$B$142:$B$201,MATCH(B656,'Assumptions &amp; Data'!$A$142:$A$201,0))</f>
        <v>Pune</v>
      </c>
      <c r="E656" s="37" t="n">
        <f aca="false">'Assumptions &amp; Data'!D790</f>
        <v>19674</v>
      </c>
      <c r="F656" s="39" t="n">
        <f aca="false">E656*'Assumptions &amp; Data'!E790</f>
        <v>11121712.2</v>
      </c>
      <c r="G656" s="39" t="n">
        <f aca="false">F656*'Assumptions &amp; Data'!F790</f>
        <v>580553.37684</v>
      </c>
      <c r="H656" s="39" t="n">
        <f aca="false">F656-G656</f>
        <v>10541158.82316</v>
      </c>
      <c r="I656" s="39" t="n">
        <f aca="false">H656*'Assumptions &amp; Data'!G790</f>
        <v>1752994.71229151</v>
      </c>
      <c r="J656" s="39" t="n">
        <f aca="false">E656*'Assumptions &amp; Data'!H790</f>
        <v>303766.56</v>
      </c>
      <c r="K656" s="39" t="n">
        <f aca="false">H656*'Assumptions &amp; Data'!I790</f>
        <v>239284.305285732</v>
      </c>
      <c r="L656" s="39" t="n">
        <f aca="false">H656*'Assumptions &amp; Data'!J790</f>
        <v>234013.725874152</v>
      </c>
      <c r="M656" s="39" t="n">
        <f aca="false">I656+J656+K656-L656</f>
        <v>2062031.85170309</v>
      </c>
      <c r="N656" s="39" t="n">
        <f aca="false">E656*'Assumptions &amp; Data'!N790</f>
        <v>816274.26</v>
      </c>
      <c r="O656" s="39" t="n">
        <f aca="false">E656*'Assumptions &amp; Data'!O790</f>
        <v>192018.24</v>
      </c>
      <c r="P656" s="39" t="n">
        <f aca="false">H656*'Assumptions &amp; Data'!P790</f>
        <v>102249.240584652</v>
      </c>
      <c r="Q656" s="39" t="n">
        <f aca="false">M656-N656-O656-P656</f>
        <v>951490.111118436</v>
      </c>
      <c r="R656" s="39" t="n">
        <f aca="false">'Assumptions &amp; Data'!L790*'Assumptions &amp; Data'!M790</f>
        <v>334220</v>
      </c>
      <c r="S656" s="37" t="n">
        <f aca="false">'Assumptions &amp; Data'!Q790</f>
        <v>174000</v>
      </c>
      <c r="T656" s="37" t="n">
        <f aca="false">'Assumptions &amp; Data'!R790</f>
        <v>140191</v>
      </c>
      <c r="U656" s="37" t="n">
        <f aca="false">'Assumptions &amp; Data'!S790</f>
        <v>90957</v>
      </c>
      <c r="V656" s="39" t="n">
        <f aca="false">Q656-R656-S656-T656-U656</f>
        <v>212122.111118436</v>
      </c>
      <c r="W656" s="39" t="n">
        <f aca="false">DAY(EOMONTH(C656,0))</f>
        <v>31</v>
      </c>
      <c r="X656" s="40" t="n">
        <f aca="false">E656/W656</f>
        <v>634.645161290323</v>
      </c>
      <c r="Y656" s="39" t="n">
        <f aca="false">R656+S656+T656+U656</f>
        <v>739368</v>
      </c>
    </row>
    <row r="657" customFormat="false" ht="15" hidden="false" customHeight="false" outlineLevel="0" collapsed="false">
      <c r="A657" s="37" t="str">
        <f aca="false">'Assumptions &amp; Data'!A791</f>
        <v>SM0587</v>
      </c>
      <c r="B657" s="37" t="str">
        <f aca="false">'Assumptions &amp; Data'!B791</f>
        <v>DS049</v>
      </c>
      <c r="C657" s="38" t="n">
        <f aca="false">'Assumptions &amp; Data'!C791</f>
        <v>46235</v>
      </c>
      <c r="D657" s="39" t="str">
        <f aca="false">INDEX('Assumptions &amp; Data'!$B$142:$B$201,MATCH(B657,'Assumptions &amp; Data'!$A$142:$A$201,0))</f>
        <v>Pune</v>
      </c>
      <c r="E657" s="37" t="n">
        <f aca="false">'Assumptions &amp; Data'!D791</f>
        <v>21330</v>
      </c>
      <c r="F657" s="39" t="n">
        <f aca="false">E657*'Assumptions &amp; Data'!E791</f>
        <v>11825352</v>
      </c>
      <c r="G657" s="39" t="n">
        <f aca="false">F657*'Assumptions &amp; Data'!F791</f>
        <v>657489.5712</v>
      </c>
      <c r="H657" s="39" t="n">
        <f aca="false">F657-G657</f>
        <v>11167862.4288</v>
      </c>
      <c r="I657" s="39" t="n">
        <f aca="false">H657*'Assumptions &amp; Data'!G791</f>
        <v>1882901.60549568</v>
      </c>
      <c r="J657" s="39" t="n">
        <f aca="false">E657*'Assumptions &amp; Data'!H791</f>
        <v>288594.9</v>
      </c>
      <c r="K657" s="39" t="n">
        <f aca="false">H657*'Assumptions &amp; Data'!I791</f>
        <v>276962.98823424</v>
      </c>
      <c r="L657" s="39" t="n">
        <f aca="false">H657*'Assumptions &amp; Data'!J791</f>
        <v>235641.89724768</v>
      </c>
      <c r="M657" s="39" t="n">
        <f aca="false">I657+J657+K657-L657</f>
        <v>2212817.59648224</v>
      </c>
      <c r="N657" s="39" t="n">
        <f aca="false">E657*'Assumptions &amp; Data'!N791</f>
        <v>891594</v>
      </c>
      <c r="O657" s="39" t="n">
        <f aca="false">E657*'Assumptions &amp; Data'!O791</f>
        <v>210527.1</v>
      </c>
      <c r="P657" s="39" t="n">
        <f aca="false">H657*'Assumptions &amp; Data'!P791</f>
        <v>112795.41053088</v>
      </c>
      <c r="Q657" s="39" t="n">
        <f aca="false">M657-N657-O657-P657</f>
        <v>997901.08595136</v>
      </c>
      <c r="R657" s="39" t="n">
        <f aca="false">'Assumptions &amp; Data'!L791*'Assumptions &amp; Data'!M791</f>
        <v>413217</v>
      </c>
      <c r="S657" s="37" t="n">
        <f aca="false">'Assumptions &amp; Data'!Q791</f>
        <v>174000</v>
      </c>
      <c r="T657" s="37" t="n">
        <f aca="false">'Assumptions &amp; Data'!R791</f>
        <v>136944</v>
      </c>
      <c r="U657" s="37" t="n">
        <f aca="false">'Assumptions &amp; Data'!S791</f>
        <v>84224</v>
      </c>
      <c r="V657" s="39" t="n">
        <f aca="false">Q657-R657-S657-T657-U657</f>
        <v>189516.08595136</v>
      </c>
      <c r="W657" s="39" t="n">
        <f aca="false">DAY(EOMONTH(C657,0))</f>
        <v>31</v>
      </c>
      <c r="X657" s="40" t="n">
        <f aca="false">E657/W657</f>
        <v>688.064516129032</v>
      </c>
      <c r="Y657" s="39" t="n">
        <f aca="false">R657+S657+T657+U657</f>
        <v>808385</v>
      </c>
    </row>
    <row r="658" customFormat="false" ht="15" hidden="false" customHeight="false" outlineLevel="0" collapsed="false">
      <c r="A658" s="37" t="str">
        <f aca="false">'Assumptions &amp; Data'!A792</f>
        <v>SM0588</v>
      </c>
      <c r="B658" s="37" t="str">
        <f aca="false">'Assumptions &amp; Data'!B792</f>
        <v>DS049</v>
      </c>
      <c r="C658" s="38" t="n">
        <f aca="false">'Assumptions &amp; Data'!C792</f>
        <v>46266</v>
      </c>
      <c r="D658" s="39" t="str">
        <f aca="false">INDEX('Assumptions &amp; Data'!$B$142:$B$201,MATCH(B658,'Assumptions &amp; Data'!$A$142:$A$201,0))</f>
        <v>Pune</v>
      </c>
      <c r="E658" s="37" t="n">
        <f aca="false">'Assumptions &amp; Data'!D792</f>
        <v>19150</v>
      </c>
      <c r="F658" s="39" t="n">
        <f aca="false">E658*'Assumptions &amp; Data'!E792</f>
        <v>10475050</v>
      </c>
      <c r="G658" s="39" t="n">
        <f aca="false">F658*'Assumptions &amp; Data'!F792</f>
        <v>554130.145</v>
      </c>
      <c r="H658" s="39" t="n">
        <f aca="false">F658-G658</f>
        <v>9920919.855</v>
      </c>
      <c r="I658" s="39" t="n">
        <f aca="false">H658*'Assumptions &amp; Data'!G792</f>
        <v>1716319.134915</v>
      </c>
      <c r="J658" s="39" t="n">
        <f aca="false">E658*'Assumptions &amp; Data'!H792</f>
        <v>281888</v>
      </c>
      <c r="K658" s="39" t="n">
        <f aca="false">H658*'Assumptions &amp; Data'!I792</f>
        <v>252983.4563025</v>
      </c>
      <c r="L658" s="39" t="n">
        <f aca="false">H658*'Assumptions &amp; Data'!J792</f>
        <v>233141.6165925</v>
      </c>
      <c r="M658" s="39" t="n">
        <f aca="false">I658+J658+K658-L658</f>
        <v>2018048.974625</v>
      </c>
      <c r="N658" s="39" t="n">
        <f aca="false">E658*'Assumptions &amp; Data'!N792</f>
        <v>813109</v>
      </c>
      <c r="O658" s="39" t="n">
        <f aca="false">E658*'Assumptions &amp; Data'!O792</f>
        <v>189010.5</v>
      </c>
      <c r="P658" s="39" t="n">
        <f aca="false">H658*'Assumptions &amp; Data'!P792</f>
        <v>101193.382521</v>
      </c>
      <c r="Q658" s="39" t="n">
        <f aca="false">M658-N658-O658-P658</f>
        <v>914736.092104</v>
      </c>
      <c r="R658" s="39" t="n">
        <f aca="false">'Assumptions &amp; Data'!L792*'Assumptions &amp; Data'!M792</f>
        <v>374205</v>
      </c>
      <c r="S658" s="37" t="n">
        <f aca="false">'Assumptions &amp; Data'!Q792</f>
        <v>174000</v>
      </c>
      <c r="T658" s="37" t="n">
        <f aca="false">'Assumptions &amp; Data'!R792</f>
        <v>142984</v>
      </c>
      <c r="U658" s="37" t="n">
        <f aca="false">'Assumptions &amp; Data'!S792</f>
        <v>75653</v>
      </c>
      <c r="V658" s="39" t="n">
        <f aca="false">Q658-R658-S658-T658-U658</f>
        <v>147894.092104</v>
      </c>
      <c r="W658" s="39" t="n">
        <f aca="false">DAY(EOMONTH(C658,0))</f>
        <v>30</v>
      </c>
      <c r="X658" s="40" t="n">
        <f aca="false">E658/W658</f>
        <v>638.333333333333</v>
      </c>
      <c r="Y658" s="39" t="n">
        <f aca="false">R658+S658+T658+U658</f>
        <v>766842</v>
      </c>
    </row>
    <row r="659" customFormat="false" ht="15" hidden="false" customHeight="false" outlineLevel="0" collapsed="false">
      <c r="A659" s="37" t="str">
        <f aca="false">'Assumptions &amp; Data'!A793</f>
        <v>SM0589</v>
      </c>
      <c r="B659" s="37" t="str">
        <f aca="false">'Assumptions &amp; Data'!B793</f>
        <v>DS050</v>
      </c>
      <c r="C659" s="38" t="n">
        <f aca="false">'Assumptions &amp; Data'!C793</f>
        <v>45931</v>
      </c>
      <c r="D659" s="39" t="str">
        <f aca="false">INDEX('Assumptions &amp; Data'!$B$142:$B$201,MATCH(B659,'Assumptions &amp; Data'!$A$142:$A$201,0))</f>
        <v>Pune</v>
      </c>
      <c r="E659" s="37" t="n">
        <f aca="false">'Assumptions &amp; Data'!D793</f>
        <v>3825</v>
      </c>
      <c r="F659" s="39" t="n">
        <f aca="false">E659*'Assumptions &amp; Data'!E793</f>
        <v>2337457.5</v>
      </c>
      <c r="G659" s="39" t="n">
        <f aca="false">F659*'Assumptions &amp; Data'!F793</f>
        <v>193775.22675</v>
      </c>
      <c r="H659" s="39" t="n">
        <f aca="false">F659-G659</f>
        <v>2143682.27325</v>
      </c>
      <c r="I659" s="39" t="n">
        <f aca="false">H659*'Assumptions &amp; Data'!G793</f>
        <v>359066.780769375</v>
      </c>
      <c r="J659" s="39" t="n">
        <f aca="false">E659*'Assumptions &amp; Data'!H793</f>
        <v>51025.5</v>
      </c>
      <c r="K659" s="39" t="n">
        <f aca="false">H659*'Assumptions &amp; Data'!I793</f>
        <v>41158.6996464</v>
      </c>
      <c r="L659" s="39" t="n">
        <f aca="false">H659*'Assumptions &amp; Data'!J793</f>
        <v>101181.8032974</v>
      </c>
      <c r="M659" s="39" t="n">
        <f aca="false">I659+J659+K659-L659</f>
        <v>350069.177118375</v>
      </c>
      <c r="N659" s="39" t="n">
        <f aca="false">E659*'Assumptions &amp; Data'!N793</f>
        <v>181764</v>
      </c>
      <c r="O659" s="39" t="n">
        <f aca="false">E659*'Assumptions &amp; Data'!O793</f>
        <v>36949.5</v>
      </c>
      <c r="P659" s="39" t="n">
        <f aca="false">H659*'Assumptions &amp; Data'!P793</f>
        <v>21436.8227325</v>
      </c>
      <c r="Q659" s="39" t="n">
        <f aca="false">M659-N659-O659-P659</f>
        <v>109918.854385875</v>
      </c>
      <c r="R659" s="39" t="n">
        <f aca="false">'Assumptions &amp; Data'!L793*'Assumptions &amp; Data'!M793</f>
        <v>312000</v>
      </c>
      <c r="S659" s="37" t="n">
        <f aca="false">'Assumptions &amp; Data'!Q793</f>
        <v>392000</v>
      </c>
      <c r="T659" s="37" t="n">
        <f aca="false">'Assumptions &amp; Data'!R793</f>
        <v>141504</v>
      </c>
      <c r="U659" s="37" t="n">
        <f aca="false">'Assumptions &amp; Data'!S793</f>
        <v>71861</v>
      </c>
      <c r="V659" s="39" t="n">
        <f aca="false">Q659-R659-S659-T659-U659</f>
        <v>-807446.145614125</v>
      </c>
      <c r="W659" s="39" t="n">
        <f aca="false">DAY(EOMONTH(C659,0))</f>
        <v>31</v>
      </c>
      <c r="X659" s="40" t="n">
        <f aca="false">E659/W659</f>
        <v>123.387096774194</v>
      </c>
      <c r="Y659" s="39" t="n">
        <f aca="false">R659+S659+T659+U659</f>
        <v>917365</v>
      </c>
    </row>
    <row r="660" customFormat="false" ht="15" hidden="false" customHeight="false" outlineLevel="0" collapsed="false">
      <c r="A660" s="37" t="str">
        <f aca="false">'Assumptions &amp; Data'!A794</f>
        <v>SM0590</v>
      </c>
      <c r="B660" s="37" t="str">
        <f aca="false">'Assumptions &amp; Data'!B794</f>
        <v>DS050</v>
      </c>
      <c r="C660" s="38" t="n">
        <f aca="false">'Assumptions &amp; Data'!C794</f>
        <v>45962</v>
      </c>
      <c r="D660" s="39" t="str">
        <f aca="false">INDEX('Assumptions &amp; Data'!$B$142:$B$201,MATCH(B660,'Assumptions &amp; Data'!$A$142:$A$201,0))</f>
        <v>Pune</v>
      </c>
      <c r="E660" s="37" t="n">
        <f aca="false">'Assumptions &amp; Data'!D794</f>
        <v>3736</v>
      </c>
      <c r="F660" s="39" t="n">
        <f aca="false">E660*'Assumptions &amp; Data'!E794</f>
        <v>2320056</v>
      </c>
      <c r="G660" s="39" t="n">
        <f aca="false">F660*'Assumptions &amp; Data'!F794</f>
        <v>187924.536</v>
      </c>
      <c r="H660" s="39" t="n">
        <f aca="false">F660-G660</f>
        <v>2132131.464</v>
      </c>
      <c r="I660" s="39" t="n">
        <f aca="false">H660*'Assumptions &amp; Data'!G794</f>
        <v>359477.3648304</v>
      </c>
      <c r="J660" s="39" t="n">
        <f aca="false">E660*'Assumptions &amp; Data'!H794</f>
        <v>46662.64</v>
      </c>
      <c r="K660" s="39" t="n">
        <f aca="false">H660*'Assumptions &amp; Data'!I794</f>
        <v>34540.5297168</v>
      </c>
      <c r="L660" s="39" t="n">
        <f aca="false">H660*'Assumptions &amp; Data'!J794</f>
        <v>95306.2764408</v>
      </c>
      <c r="M660" s="39" t="n">
        <f aca="false">I660+J660+K660-L660</f>
        <v>345374.2581064</v>
      </c>
      <c r="N660" s="39" t="n">
        <f aca="false">E660*'Assumptions &amp; Data'!N794</f>
        <v>177534.72</v>
      </c>
      <c r="O660" s="39" t="n">
        <f aca="false">E660*'Assumptions &amp; Data'!O794</f>
        <v>36500.72</v>
      </c>
      <c r="P660" s="39" t="n">
        <f aca="false">H660*'Assumptions &amp; Data'!P794</f>
        <v>21747.7409328</v>
      </c>
      <c r="Q660" s="39" t="n">
        <f aca="false">M660-N660-O660-P660</f>
        <v>109591.0771736</v>
      </c>
      <c r="R660" s="39" t="n">
        <f aca="false">'Assumptions &amp; Data'!L794*'Assumptions &amp; Data'!M794</f>
        <v>312288</v>
      </c>
      <c r="S660" s="37" t="n">
        <f aca="false">'Assumptions &amp; Data'!Q794</f>
        <v>392000</v>
      </c>
      <c r="T660" s="37" t="n">
        <f aca="false">'Assumptions &amp; Data'!R794</f>
        <v>155986</v>
      </c>
      <c r="U660" s="37" t="n">
        <f aca="false">'Assumptions &amp; Data'!S794</f>
        <v>72559</v>
      </c>
      <c r="V660" s="39" t="n">
        <f aca="false">Q660-R660-S660-T660-U660</f>
        <v>-823241.9228264</v>
      </c>
      <c r="W660" s="39" t="n">
        <f aca="false">DAY(EOMONTH(C660,0))</f>
        <v>30</v>
      </c>
      <c r="X660" s="40" t="n">
        <f aca="false">E660/W660</f>
        <v>124.533333333333</v>
      </c>
      <c r="Y660" s="39" t="n">
        <f aca="false">R660+S660+T660+U660</f>
        <v>932833</v>
      </c>
    </row>
    <row r="661" customFormat="false" ht="15" hidden="false" customHeight="false" outlineLevel="0" collapsed="false">
      <c r="A661" s="37" t="str">
        <f aca="false">'Assumptions &amp; Data'!A795</f>
        <v>SM0591</v>
      </c>
      <c r="B661" s="37" t="str">
        <f aca="false">'Assumptions &amp; Data'!B795</f>
        <v>DS050</v>
      </c>
      <c r="C661" s="38" t="n">
        <f aca="false">'Assumptions &amp; Data'!C795</f>
        <v>45992</v>
      </c>
      <c r="D661" s="39" t="str">
        <f aca="false">INDEX('Assumptions &amp; Data'!$B$142:$B$201,MATCH(B661,'Assumptions &amp; Data'!$A$142:$A$201,0))</f>
        <v>Pune</v>
      </c>
      <c r="E661" s="37" t="n">
        <f aca="false">'Assumptions &amp; Data'!D795</f>
        <v>3856</v>
      </c>
      <c r="F661" s="39" t="n">
        <f aca="false">E661*'Assumptions &amp; Data'!E795</f>
        <v>2344833.6</v>
      </c>
      <c r="G661" s="39" t="n">
        <f aca="false">F661*'Assumptions &amp; Data'!F795</f>
        <v>187821.17136</v>
      </c>
      <c r="H661" s="39" t="n">
        <f aca="false">F661-G661</f>
        <v>2157012.42864</v>
      </c>
      <c r="I661" s="39" t="n">
        <f aca="false">H661*'Assumptions &amp; Data'!G795</f>
        <v>360868.179311472</v>
      </c>
      <c r="J661" s="39" t="n">
        <f aca="false">E661*'Assumptions &amp; Data'!H795</f>
        <v>52325.92</v>
      </c>
      <c r="K661" s="39" t="n">
        <f aca="false">H661*'Assumptions &amp; Data'!I795</f>
        <v>37100.613772608</v>
      </c>
      <c r="L661" s="39" t="n">
        <f aca="false">H661*'Assumptions &amp; Data'!J795</f>
        <v>97281.260531664</v>
      </c>
      <c r="M661" s="39" t="n">
        <f aca="false">I661+J661+K661-L661</f>
        <v>353013.452552416</v>
      </c>
      <c r="N661" s="39" t="n">
        <f aca="false">E661*'Assumptions &amp; Data'!N795</f>
        <v>183815.52</v>
      </c>
      <c r="O661" s="39" t="n">
        <f aca="false">E661*'Assumptions &amp; Data'!O795</f>
        <v>38482.88</v>
      </c>
      <c r="P661" s="39" t="n">
        <f aca="false">H661*'Assumptions &amp; Data'!P795</f>
        <v>21785.825529264</v>
      </c>
      <c r="Q661" s="39" t="n">
        <f aca="false">M661-N661-O661-P661</f>
        <v>108929.227023152</v>
      </c>
      <c r="R661" s="39" t="n">
        <f aca="false">'Assumptions &amp; Data'!L795*'Assumptions &amp; Data'!M795</f>
        <v>312560</v>
      </c>
      <c r="S661" s="37" t="n">
        <f aca="false">'Assumptions &amp; Data'!Q795</f>
        <v>392000</v>
      </c>
      <c r="T661" s="37" t="n">
        <f aca="false">'Assumptions &amp; Data'!R795</f>
        <v>152583</v>
      </c>
      <c r="U661" s="37" t="n">
        <f aca="false">'Assumptions &amp; Data'!S795</f>
        <v>71887</v>
      </c>
      <c r="V661" s="39" t="n">
        <f aca="false">Q661-R661-S661-T661-U661</f>
        <v>-820100.772976848</v>
      </c>
      <c r="W661" s="39" t="n">
        <f aca="false">DAY(EOMONTH(C661,0))</f>
        <v>31</v>
      </c>
      <c r="X661" s="40" t="n">
        <f aca="false">E661/W661</f>
        <v>124.387096774194</v>
      </c>
      <c r="Y661" s="39" t="n">
        <f aca="false">R661+S661+T661+U661</f>
        <v>929030</v>
      </c>
    </row>
    <row r="662" customFormat="false" ht="15" hidden="false" customHeight="false" outlineLevel="0" collapsed="false">
      <c r="A662" s="37" t="str">
        <f aca="false">'Assumptions &amp; Data'!A796</f>
        <v>SM0592</v>
      </c>
      <c r="B662" s="37" t="str">
        <f aca="false">'Assumptions &amp; Data'!B796</f>
        <v>DS050</v>
      </c>
      <c r="C662" s="38" t="n">
        <f aca="false">'Assumptions &amp; Data'!C796</f>
        <v>46023</v>
      </c>
      <c r="D662" s="39" t="str">
        <f aca="false">INDEX('Assumptions &amp; Data'!$B$142:$B$201,MATCH(B662,'Assumptions &amp; Data'!$A$142:$A$201,0))</f>
        <v>Pune</v>
      </c>
      <c r="E662" s="37" t="n">
        <f aca="false">'Assumptions &amp; Data'!D796</f>
        <v>3453</v>
      </c>
      <c r="F662" s="39" t="n">
        <f aca="false">E662*'Assumptions &amp; Data'!E796</f>
        <v>2153636.1</v>
      </c>
      <c r="G662" s="39" t="n">
        <f aca="false">F662*'Assumptions &amp; Data'!F796</f>
        <v>171429.43356</v>
      </c>
      <c r="H662" s="39" t="n">
        <f aca="false">F662-G662</f>
        <v>1982206.66644</v>
      </c>
      <c r="I662" s="39" t="n">
        <f aca="false">H662*'Assumptions &amp; Data'!G796</f>
        <v>339552.001961172</v>
      </c>
      <c r="J662" s="39" t="n">
        <f aca="false">E662*'Assumptions &amp; Data'!H796</f>
        <v>45130.71</v>
      </c>
      <c r="K662" s="39" t="n">
        <f aca="false">H662*'Assumptions &amp; Data'!I796</f>
        <v>36670.82332914</v>
      </c>
      <c r="L662" s="39" t="n">
        <f aca="false">H662*'Assumptions &amp; Data'!J796</f>
        <v>93163.71332268</v>
      </c>
      <c r="M662" s="39" t="n">
        <f aca="false">I662+J662+K662-L662</f>
        <v>328189.821967632</v>
      </c>
      <c r="N662" s="39" t="n">
        <f aca="false">E662*'Assumptions &amp; Data'!N796</f>
        <v>162636.3</v>
      </c>
      <c r="O662" s="39" t="n">
        <f aca="false">E662*'Assumptions &amp; Data'!O796</f>
        <v>33597.69</v>
      </c>
      <c r="P662" s="39" t="n">
        <f aca="false">H662*'Assumptions &amp; Data'!P796</f>
        <v>19822.0666644</v>
      </c>
      <c r="Q662" s="39" t="n">
        <f aca="false">M662-N662-O662-P662</f>
        <v>112133.765303232</v>
      </c>
      <c r="R662" s="39" t="n">
        <f aca="false">'Assumptions &amp; Data'!L796*'Assumptions &amp; Data'!M796</f>
        <v>312848</v>
      </c>
      <c r="S662" s="37" t="n">
        <f aca="false">'Assumptions &amp; Data'!Q796</f>
        <v>392000</v>
      </c>
      <c r="T662" s="37" t="n">
        <f aca="false">'Assumptions &amp; Data'!R796</f>
        <v>160654</v>
      </c>
      <c r="U662" s="37" t="n">
        <f aca="false">'Assumptions &amp; Data'!S796</f>
        <v>66171</v>
      </c>
      <c r="V662" s="39" t="n">
        <f aca="false">Q662-R662-S662-T662-U662</f>
        <v>-819539.234696768</v>
      </c>
      <c r="W662" s="39" t="n">
        <f aca="false">DAY(EOMONTH(C662,0))</f>
        <v>31</v>
      </c>
      <c r="X662" s="40" t="n">
        <f aca="false">E662/W662</f>
        <v>111.387096774194</v>
      </c>
      <c r="Y662" s="39" t="n">
        <f aca="false">R662+S662+T662+U662</f>
        <v>931673</v>
      </c>
    </row>
    <row r="663" customFormat="false" ht="15" hidden="false" customHeight="false" outlineLevel="0" collapsed="false">
      <c r="A663" s="37" t="str">
        <f aca="false">'Assumptions &amp; Data'!A797</f>
        <v>SM0593</v>
      </c>
      <c r="B663" s="37" t="str">
        <f aca="false">'Assumptions &amp; Data'!B797</f>
        <v>DS050</v>
      </c>
      <c r="C663" s="38" t="n">
        <f aca="false">'Assumptions &amp; Data'!C797</f>
        <v>46054</v>
      </c>
      <c r="D663" s="39" t="str">
        <f aca="false">INDEX('Assumptions &amp; Data'!$B$142:$B$201,MATCH(B663,'Assumptions &amp; Data'!$A$142:$A$201,0))</f>
        <v>Pune</v>
      </c>
      <c r="E663" s="37" t="n">
        <f aca="false">'Assumptions &amp; Data'!D797</f>
        <v>3159</v>
      </c>
      <c r="F663" s="39" t="n">
        <f aca="false">E663*'Assumptions &amp; Data'!E797</f>
        <v>1971847.8</v>
      </c>
      <c r="G663" s="39" t="n">
        <f aca="false">F663*'Assumptions &amp; Data'!F797</f>
        <v>159522.48702</v>
      </c>
      <c r="H663" s="39" t="n">
        <f aca="false">F663-G663</f>
        <v>1812325.31298</v>
      </c>
      <c r="I663" s="39" t="n">
        <f aca="false">H663*'Assumptions &amp; Data'!G797</f>
        <v>302658.32726766</v>
      </c>
      <c r="J663" s="39" t="n">
        <f aca="false">E663*'Assumptions &amp; Data'!H797</f>
        <v>41509.26</v>
      </c>
      <c r="K663" s="39" t="n">
        <f aca="false">H663*'Assumptions &amp; Data'!I797</f>
        <v>31896.925508448</v>
      </c>
      <c r="L663" s="39" t="n">
        <f aca="false">H663*'Assumptions &amp; Data'!J797</f>
        <v>83185.731865782</v>
      </c>
      <c r="M663" s="39" t="n">
        <f aca="false">I663+J663+K663-L663</f>
        <v>292878.780910326</v>
      </c>
      <c r="N663" s="39" t="n">
        <f aca="false">E663*'Assumptions &amp; Data'!N797</f>
        <v>152042.67</v>
      </c>
      <c r="O663" s="39" t="n">
        <f aca="false">E663*'Assumptions &amp; Data'!O797</f>
        <v>30610.71</v>
      </c>
      <c r="P663" s="39" t="n">
        <f aca="false">H663*'Assumptions &amp; Data'!P797</f>
        <v>19391.880848886</v>
      </c>
      <c r="Q663" s="39" t="n">
        <f aca="false">M663-N663-O663-P663</f>
        <v>90833.52006144</v>
      </c>
      <c r="R663" s="39" t="n">
        <f aca="false">'Assumptions &amp; Data'!L797*'Assumptions &amp; Data'!M797</f>
        <v>313136</v>
      </c>
      <c r="S663" s="37" t="n">
        <f aca="false">'Assumptions &amp; Data'!Q797</f>
        <v>392000</v>
      </c>
      <c r="T663" s="37" t="n">
        <f aca="false">'Assumptions &amp; Data'!R797</f>
        <v>149533</v>
      </c>
      <c r="U663" s="37" t="n">
        <f aca="false">'Assumptions &amp; Data'!S797</f>
        <v>62305</v>
      </c>
      <c r="V663" s="39" t="n">
        <f aca="false">Q663-R663-S663-T663-U663</f>
        <v>-826140.47993856</v>
      </c>
      <c r="W663" s="39" t="n">
        <f aca="false">DAY(EOMONTH(C663,0))</f>
        <v>28</v>
      </c>
      <c r="X663" s="40" t="n">
        <f aca="false">E663/W663</f>
        <v>112.821428571429</v>
      </c>
      <c r="Y663" s="39" t="n">
        <f aca="false">R663+S663+T663+U663</f>
        <v>916974</v>
      </c>
    </row>
    <row r="664" customFormat="false" ht="15" hidden="false" customHeight="false" outlineLevel="0" collapsed="false">
      <c r="A664" s="37" t="str">
        <f aca="false">'Assumptions &amp; Data'!A798</f>
        <v>SM0594</v>
      </c>
      <c r="B664" s="37" t="str">
        <f aca="false">'Assumptions &amp; Data'!B798</f>
        <v>DS050</v>
      </c>
      <c r="C664" s="38" t="n">
        <f aca="false">'Assumptions &amp; Data'!C798</f>
        <v>46082</v>
      </c>
      <c r="D664" s="39" t="str">
        <f aca="false">INDEX('Assumptions &amp; Data'!$B$142:$B$201,MATCH(B664,'Assumptions &amp; Data'!$A$142:$A$201,0))</f>
        <v>Pune</v>
      </c>
      <c r="E664" s="37" t="n">
        <f aca="false">'Assumptions &amp; Data'!D798</f>
        <v>7904</v>
      </c>
      <c r="F664" s="39" t="n">
        <f aca="false">E664*'Assumptions &amp; Data'!E798</f>
        <v>4879929.6</v>
      </c>
      <c r="G664" s="39" t="n">
        <f aca="false">F664*'Assumptions &amp; Data'!F798</f>
        <v>381122.50176</v>
      </c>
      <c r="H664" s="39" t="n">
        <f aca="false">F664-G664</f>
        <v>4498807.09824</v>
      </c>
      <c r="I664" s="39" t="n">
        <f aca="false">H664*'Assumptions &amp; Data'!G798</f>
        <v>742753.051919424</v>
      </c>
      <c r="J664" s="39" t="n">
        <f aca="false">E664*'Assumptions &amp; Data'!H798</f>
        <v>102119.68</v>
      </c>
      <c r="K664" s="39" t="n">
        <f aca="false">H664*'Assumptions &amp; Data'!I798</f>
        <v>87276.857705856</v>
      </c>
      <c r="L664" s="39" t="n">
        <f aca="false">H664*'Assumptions &amp; Data'!J798</f>
        <v>200196.91587168</v>
      </c>
      <c r="M664" s="39" t="n">
        <f aca="false">I664+J664+K664-L664</f>
        <v>731952.6737536</v>
      </c>
      <c r="N664" s="39" t="n">
        <f aca="false">E664*'Assumptions &amp; Data'!N798</f>
        <v>363900.16</v>
      </c>
      <c r="O664" s="39" t="n">
        <f aca="false">E664*'Assumptions &amp; Data'!O798</f>
        <v>76668.8</v>
      </c>
      <c r="P664" s="39" t="n">
        <f aca="false">H664*'Assumptions &amp; Data'!P798</f>
        <v>42738.66743328</v>
      </c>
      <c r="Q664" s="39" t="n">
        <f aca="false">M664-N664-O664-P664</f>
        <v>248645.04632032</v>
      </c>
      <c r="R664" s="39" t="n">
        <f aca="false">'Assumptions &amp; Data'!L798*'Assumptions &amp; Data'!M798</f>
        <v>313424</v>
      </c>
      <c r="S664" s="37" t="n">
        <f aca="false">'Assumptions &amp; Data'!Q798</f>
        <v>392000</v>
      </c>
      <c r="T664" s="37" t="n">
        <f aca="false">'Assumptions &amp; Data'!R798</f>
        <v>154022</v>
      </c>
      <c r="U664" s="37" t="n">
        <f aca="false">'Assumptions &amp; Data'!S798</f>
        <v>138568</v>
      </c>
      <c r="V664" s="39" t="n">
        <f aca="false">Q664-R664-S664-T664-U664</f>
        <v>-749368.95367968</v>
      </c>
      <c r="W664" s="39" t="n">
        <f aca="false">DAY(EOMONTH(C664,0))</f>
        <v>31</v>
      </c>
      <c r="X664" s="40" t="n">
        <f aca="false">E664/W664</f>
        <v>254.967741935484</v>
      </c>
      <c r="Y664" s="39" t="n">
        <f aca="false">R664+S664+T664+U664</f>
        <v>998014</v>
      </c>
    </row>
    <row r="665" customFormat="false" ht="15" hidden="false" customHeight="false" outlineLevel="0" collapsed="false">
      <c r="A665" s="37" t="str">
        <f aca="false">'Assumptions &amp; Data'!A799</f>
        <v>SM0595</v>
      </c>
      <c r="B665" s="37" t="str">
        <f aca="false">'Assumptions &amp; Data'!B799</f>
        <v>DS050</v>
      </c>
      <c r="C665" s="38" t="n">
        <f aca="false">'Assumptions &amp; Data'!C799</f>
        <v>46113</v>
      </c>
      <c r="D665" s="39" t="str">
        <f aca="false">INDEX('Assumptions &amp; Data'!$B$142:$B$201,MATCH(B665,'Assumptions &amp; Data'!$A$142:$A$201,0))</f>
        <v>Pune</v>
      </c>
      <c r="E665" s="37" t="n">
        <f aca="false">'Assumptions &amp; Data'!D799</f>
        <v>11186</v>
      </c>
      <c r="F665" s="39" t="n">
        <f aca="false">E665*'Assumptions &amp; Data'!E799</f>
        <v>6965522.2</v>
      </c>
      <c r="G665" s="39" t="n">
        <f aca="false">F665*'Assumptions &amp; Data'!F799</f>
        <v>502910.70284</v>
      </c>
      <c r="H665" s="39" t="n">
        <f aca="false">F665-G665</f>
        <v>6462611.49716</v>
      </c>
      <c r="I665" s="39" t="n">
        <f aca="false">H665*'Assumptions &amp; Data'!G799</f>
        <v>1063745.85243254</v>
      </c>
      <c r="J665" s="39" t="n">
        <f aca="false">E665*'Assumptions &amp; Data'!H799</f>
        <v>143516.38</v>
      </c>
      <c r="K665" s="39" t="n">
        <f aca="false">H665*'Assumptions &amp; Data'!I799</f>
        <v>124082.140745472</v>
      </c>
      <c r="L665" s="39" t="n">
        <f aca="false">H665*'Assumptions &amp; Data'!J799</f>
        <v>266259.593682992</v>
      </c>
      <c r="M665" s="39" t="n">
        <f aca="false">I665+J665+K665-L665</f>
        <v>1065084.77949502</v>
      </c>
      <c r="N665" s="39" t="n">
        <f aca="false">E665*'Assumptions &amp; Data'!N799</f>
        <v>487933.32</v>
      </c>
      <c r="O665" s="39" t="n">
        <f aca="false">E665*'Assumptions &amp; Data'!O799</f>
        <v>108504.2</v>
      </c>
      <c r="P665" s="39" t="n">
        <f aca="false">H665*'Assumptions &amp; Data'!P799</f>
        <v>65272.376121316</v>
      </c>
      <c r="Q665" s="39" t="n">
        <f aca="false">M665-N665-O665-P665</f>
        <v>403374.8833737</v>
      </c>
      <c r="R665" s="39" t="n">
        <f aca="false">'Assumptions &amp; Data'!L799*'Assumptions &amp; Data'!M799</f>
        <v>313696</v>
      </c>
      <c r="S665" s="37" t="n">
        <f aca="false">'Assumptions &amp; Data'!Q799</f>
        <v>392000</v>
      </c>
      <c r="T665" s="37" t="n">
        <f aca="false">'Assumptions &amp; Data'!R799</f>
        <v>151632</v>
      </c>
      <c r="U665" s="37" t="n">
        <f aca="false">'Assumptions &amp; Data'!S799</f>
        <v>179644</v>
      </c>
      <c r="V665" s="39" t="n">
        <f aca="false">Q665-R665-S665-T665-U665</f>
        <v>-633597.1166263</v>
      </c>
      <c r="W665" s="39" t="n">
        <f aca="false">DAY(EOMONTH(C665,0))</f>
        <v>30</v>
      </c>
      <c r="X665" s="40" t="n">
        <f aca="false">E665/W665</f>
        <v>372.866666666667</v>
      </c>
      <c r="Y665" s="39" t="n">
        <f aca="false">R665+S665+T665+U665</f>
        <v>1036972</v>
      </c>
    </row>
    <row r="666" customFormat="false" ht="15" hidden="false" customHeight="false" outlineLevel="0" collapsed="false">
      <c r="A666" s="37" t="str">
        <f aca="false">'Assumptions &amp; Data'!A800</f>
        <v>SM0596</v>
      </c>
      <c r="B666" s="37" t="str">
        <f aca="false">'Assumptions &amp; Data'!B800</f>
        <v>DS050</v>
      </c>
      <c r="C666" s="38" t="n">
        <f aca="false">'Assumptions &amp; Data'!C800</f>
        <v>46143</v>
      </c>
      <c r="D666" s="39" t="str">
        <f aca="false">INDEX('Assumptions &amp; Data'!$B$142:$B$201,MATCH(B666,'Assumptions &amp; Data'!$A$142:$A$201,0))</f>
        <v>Pune</v>
      </c>
      <c r="E666" s="37" t="n">
        <f aca="false">'Assumptions &amp; Data'!D800</f>
        <v>13434</v>
      </c>
      <c r="F666" s="39" t="n">
        <f aca="false">E666*'Assumptions &amp; Data'!E800</f>
        <v>8306242.2</v>
      </c>
      <c r="G666" s="39" t="n">
        <f aca="false">F666*'Assumptions &amp; Data'!F800</f>
        <v>578114.45712</v>
      </c>
      <c r="H666" s="39" t="n">
        <f aca="false">F666-G666</f>
        <v>7728127.74288</v>
      </c>
      <c r="I666" s="39" t="n">
        <f aca="false">H666*'Assumptions &amp; Data'!G800</f>
        <v>1303735.15022386</v>
      </c>
      <c r="J666" s="39" t="n">
        <f aca="false">E666*'Assumptions &amp; Data'!H800</f>
        <v>172223.88</v>
      </c>
      <c r="K666" s="39" t="n">
        <f aca="false">H666*'Assumptions &amp; Data'!I800</f>
        <v>150698.49098616</v>
      </c>
      <c r="L666" s="39" t="n">
        <f aca="false">H666*'Assumptions &amp; Data'!J800</f>
        <v>318398.863006656</v>
      </c>
      <c r="M666" s="39" t="n">
        <f aca="false">I666+J666+K666-L666</f>
        <v>1308258.65820336</v>
      </c>
      <c r="N666" s="39" t="n">
        <f aca="false">E666*'Assumptions &amp; Data'!N800</f>
        <v>601037.16</v>
      </c>
      <c r="O666" s="39" t="n">
        <f aca="false">E666*'Assumptions &amp; Data'!O800</f>
        <v>130847.16</v>
      </c>
      <c r="P666" s="39" t="n">
        <f aca="false">H666*'Assumptions &amp; Data'!P800</f>
        <v>76508.464654512</v>
      </c>
      <c r="Q666" s="39" t="n">
        <f aca="false">M666-N666-O666-P666</f>
        <v>499865.873548848</v>
      </c>
      <c r="R666" s="39" t="n">
        <f aca="false">'Assumptions &amp; Data'!L800*'Assumptions &amp; Data'!M800</f>
        <v>313984</v>
      </c>
      <c r="S666" s="37" t="n">
        <f aca="false">'Assumptions &amp; Data'!Q800</f>
        <v>392000</v>
      </c>
      <c r="T666" s="37" t="n">
        <f aca="false">'Assumptions &amp; Data'!R800</f>
        <v>155236</v>
      </c>
      <c r="U666" s="37" t="n">
        <f aca="false">'Assumptions &amp; Data'!S800</f>
        <v>198999</v>
      </c>
      <c r="V666" s="39" t="n">
        <f aca="false">Q666-R666-S666-T666-U666</f>
        <v>-560353.126451152</v>
      </c>
      <c r="W666" s="39" t="n">
        <f aca="false">DAY(EOMONTH(C666,0))</f>
        <v>31</v>
      </c>
      <c r="X666" s="40" t="n">
        <f aca="false">E666/W666</f>
        <v>433.354838709677</v>
      </c>
      <c r="Y666" s="39" t="n">
        <f aca="false">R666+S666+T666+U666</f>
        <v>1060219</v>
      </c>
    </row>
    <row r="667" customFormat="false" ht="15" hidden="false" customHeight="false" outlineLevel="0" collapsed="false">
      <c r="A667" s="37" t="str">
        <f aca="false">'Assumptions &amp; Data'!A801</f>
        <v>SM0597</v>
      </c>
      <c r="B667" s="37" t="str">
        <f aca="false">'Assumptions &amp; Data'!B801</f>
        <v>DS050</v>
      </c>
      <c r="C667" s="38" t="n">
        <f aca="false">'Assumptions &amp; Data'!C801</f>
        <v>46174</v>
      </c>
      <c r="D667" s="39" t="str">
        <f aca="false">INDEX('Assumptions &amp; Data'!$B$142:$B$201,MATCH(B667,'Assumptions &amp; Data'!$A$142:$A$201,0))</f>
        <v>Pune</v>
      </c>
      <c r="E667" s="37" t="n">
        <f aca="false">'Assumptions &amp; Data'!D801</f>
        <v>15650</v>
      </c>
      <c r="F667" s="39" t="n">
        <f aca="false">E667*'Assumptions &amp; Data'!E801</f>
        <v>9709260</v>
      </c>
      <c r="G667" s="39" t="n">
        <f aca="false">F667*'Assumptions &amp; Data'!F801</f>
        <v>653433.198</v>
      </c>
      <c r="H667" s="39" t="n">
        <f aca="false">F667-G667</f>
        <v>9055826.802</v>
      </c>
      <c r="I667" s="39" t="n">
        <f aca="false">H667*'Assumptions &amp; Data'!G801</f>
        <v>1525906.816137</v>
      </c>
      <c r="J667" s="39" t="n">
        <f aca="false">E667*'Assumptions &amp; Data'!H801</f>
        <v>201728.5</v>
      </c>
      <c r="K667" s="39" t="n">
        <f aca="false">H667*'Assumptions &amp; Data'!I801</f>
        <v>201944.9376846</v>
      </c>
      <c r="L667" s="39" t="n">
        <f aca="false">H667*'Assumptions &amp; Data'!J801</f>
        <v>343215.8357958</v>
      </c>
      <c r="M667" s="39" t="n">
        <f aca="false">I667+J667+K667-L667</f>
        <v>1586364.4180258</v>
      </c>
      <c r="N667" s="39" t="n">
        <f aca="false">E667*'Assumptions &amp; Data'!N801</f>
        <v>670133</v>
      </c>
      <c r="O667" s="39" t="n">
        <f aca="false">E667*'Assumptions &amp; Data'!O801</f>
        <v>154309</v>
      </c>
      <c r="P667" s="39" t="n">
        <f aca="false">H667*'Assumptions &amp; Data'!P801</f>
        <v>97802.9294616</v>
      </c>
      <c r="Q667" s="39" t="n">
        <f aca="false">M667-N667-O667-P667</f>
        <v>664119.4885642</v>
      </c>
      <c r="R667" s="39" t="n">
        <f aca="false">'Assumptions &amp; Data'!L801*'Assumptions &amp; Data'!M801</f>
        <v>314272</v>
      </c>
      <c r="S667" s="37" t="n">
        <f aca="false">'Assumptions &amp; Data'!Q801</f>
        <v>392000</v>
      </c>
      <c r="T667" s="37" t="n">
        <f aca="false">'Assumptions &amp; Data'!R801</f>
        <v>157952</v>
      </c>
      <c r="U667" s="37" t="n">
        <f aca="false">'Assumptions &amp; Data'!S801</f>
        <v>207426</v>
      </c>
      <c r="V667" s="39" t="n">
        <f aca="false">Q667-R667-S667-T667-U667</f>
        <v>-407530.5114358</v>
      </c>
      <c r="W667" s="39" t="n">
        <f aca="false">DAY(EOMONTH(C667,0))</f>
        <v>30</v>
      </c>
      <c r="X667" s="40" t="n">
        <f aca="false">E667/W667</f>
        <v>521.666666666667</v>
      </c>
      <c r="Y667" s="39" t="n">
        <f aca="false">R667+S667+T667+U667</f>
        <v>1071650</v>
      </c>
    </row>
    <row r="668" customFormat="false" ht="15" hidden="false" customHeight="false" outlineLevel="0" collapsed="false">
      <c r="A668" s="37" t="str">
        <f aca="false">'Assumptions &amp; Data'!A802</f>
        <v>SM0598</v>
      </c>
      <c r="B668" s="37" t="str">
        <f aca="false">'Assumptions &amp; Data'!B802</f>
        <v>DS050</v>
      </c>
      <c r="C668" s="38" t="n">
        <f aca="false">'Assumptions &amp; Data'!C802</f>
        <v>46204</v>
      </c>
      <c r="D668" s="39" t="str">
        <f aca="false">INDEX('Assumptions &amp; Data'!$B$142:$B$201,MATCH(B668,'Assumptions &amp; Data'!$A$142:$A$201,0))</f>
        <v>Pune</v>
      </c>
      <c r="E668" s="37" t="n">
        <f aca="false">'Assumptions &amp; Data'!D802</f>
        <v>20260</v>
      </c>
      <c r="F668" s="39" t="n">
        <f aca="false">E668*'Assumptions &amp; Data'!E802</f>
        <v>12346444</v>
      </c>
      <c r="G668" s="39" t="n">
        <f aca="false">F668*'Assumptions &amp; Data'!F802</f>
        <v>802518.86</v>
      </c>
      <c r="H668" s="39" t="n">
        <f aca="false">F668-G668</f>
        <v>11543925.14</v>
      </c>
      <c r="I668" s="39" t="n">
        <f aca="false">H668*'Assumptions &amp; Data'!G802</f>
        <v>1940533.816034</v>
      </c>
      <c r="J668" s="39" t="n">
        <f aca="false">E668*'Assumptions &amp; Data'!H802</f>
        <v>268242.4</v>
      </c>
      <c r="K668" s="39" t="n">
        <f aca="false">H668*'Assumptions &amp; Data'!I802</f>
        <v>267819.063248</v>
      </c>
      <c r="L668" s="39" t="n">
        <f aca="false">H668*'Assumptions &amp; Data'!J802</f>
        <v>400574.202358</v>
      </c>
      <c r="M668" s="39" t="n">
        <f aca="false">I668+J668+K668-L668</f>
        <v>2076021.076924</v>
      </c>
      <c r="N668" s="39" t="n">
        <f aca="false">E668*'Assumptions &amp; Data'!N802</f>
        <v>856390.2</v>
      </c>
      <c r="O668" s="39" t="n">
        <f aca="false">E668*'Assumptions &amp; Data'!O802</f>
        <v>199763.6</v>
      </c>
      <c r="P668" s="39" t="n">
        <f aca="false">H668*'Assumptions &amp; Data'!P802</f>
        <v>121211.21397</v>
      </c>
      <c r="Q668" s="39" t="n">
        <f aca="false">M668-N668-O668-P668</f>
        <v>898656.062954</v>
      </c>
      <c r="R668" s="39" t="n">
        <f aca="false">'Assumptions &amp; Data'!L802*'Assumptions &amp; Data'!M802</f>
        <v>314560</v>
      </c>
      <c r="S668" s="37" t="n">
        <f aca="false">'Assumptions &amp; Data'!Q802</f>
        <v>392000</v>
      </c>
      <c r="T668" s="37" t="n">
        <f aca="false">'Assumptions &amp; Data'!R802</f>
        <v>151063</v>
      </c>
      <c r="U668" s="37" t="n">
        <f aca="false">'Assumptions &amp; Data'!S802</f>
        <v>243090</v>
      </c>
      <c r="V668" s="39" t="n">
        <f aca="false">Q668-R668-S668-T668-U668</f>
        <v>-202056.937046</v>
      </c>
      <c r="W668" s="39" t="n">
        <f aca="false">DAY(EOMONTH(C668,0))</f>
        <v>31</v>
      </c>
      <c r="X668" s="40" t="n">
        <f aca="false">E668/W668</f>
        <v>653.548387096774</v>
      </c>
      <c r="Y668" s="39" t="n">
        <f aca="false">R668+S668+T668+U668</f>
        <v>1100713</v>
      </c>
    </row>
    <row r="669" customFormat="false" ht="15" hidden="false" customHeight="false" outlineLevel="0" collapsed="false">
      <c r="A669" s="37" t="str">
        <f aca="false">'Assumptions &amp; Data'!A803</f>
        <v>SM0599</v>
      </c>
      <c r="B669" s="37" t="str">
        <f aca="false">'Assumptions &amp; Data'!B803</f>
        <v>DS050</v>
      </c>
      <c r="C669" s="38" t="n">
        <f aca="false">'Assumptions &amp; Data'!C803</f>
        <v>46235</v>
      </c>
      <c r="D669" s="39" t="str">
        <f aca="false">INDEX('Assumptions &amp; Data'!$B$142:$B$201,MATCH(B669,'Assumptions &amp; Data'!$A$142:$A$201,0))</f>
        <v>Pune</v>
      </c>
      <c r="E669" s="37" t="n">
        <f aca="false">'Assumptions &amp; Data'!D803</f>
        <v>19571</v>
      </c>
      <c r="F669" s="39" t="n">
        <f aca="false">E669*'Assumptions &amp; Data'!E803</f>
        <v>11881554.1</v>
      </c>
      <c r="G669" s="39" t="n">
        <f aca="false">F669*'Assumptions &amp; Data'!F803</f>
        <v>740220.82043</v>
      </c>
      <c r="H669" s="39" t="n">
        <f aca="false">F669-G669</f>
        <v>11141333.27957</v>
      </c>
      <c r="I669" s="39" t="n">
        <f aca="false">H669*'Assumptions &amp; Data'!G803</f>
        <v>1870629.8576398</v>
      </c>
      <c r="J669" s="39" t="n">
        <f aca="false">E669*'Assumptions &amp; Data'!H803</f>
        <v>260098.59</v>
      </c>
      <c r="K669" s="39" t="n">
        <f aca="false">H669*'Assumptions &amp; Data'!I803</f>
        <v>274076.798677422</v>
      </c>
      <c r="L669" s="39" t="n">
        <f aca="false">H669*'Assumptions &amp; Data'!J803</f>
        <v>402202.131392477</v>
      </c>
      <c r="M669" s="39" t="n">
        <f aca="false">I669+J669+K669-L669</f>
        <v>2002603.11492475</v>
      </c>
      <c r="N669" s="39" t="n">
        <f aca="false">E669*'Assumptions &amp; Data'!N803</f>
        <v>799866.77</v>
      </c>
      <c r="O669" s="39" t="n">
        <f aca="false">E669*'Assumptions &amp; Data'!O803</f>
        <v>188860.15</v>
      </c>
      <c r="P669" s="39" t="n">
        <f aca="false">H669*'Assumptions &amp; Data'!P803</f>
        <v>111413.3327957</v>
      </c>
      <c r="Q669" s="39" t="n">
        <f aca="false">M669-N669-O669-P669</f>
        <v>902462.862129048</v>
      </c>
      <c r="R669" s="39" t="n">
        <f aca="false">'Assumptions &amp; Data'!L803*'Assumptions &amp; Data'!M803</f>
        <v>314832</v>
      </c>
      <c r="S669" s="37" t="n">
        <f aca="false">'Assumptions &amp; Data'!Q803</f>
        <v>392000</v>
      </c>
      <c r="T669" s="37" t="n">
        <f aca="false">'Assumptions &amp; Data'!R803</f>
        <v>155522</v>
      </c>
      <c r="U669" s="37" t="n">
        <f aca="false">'Assumptions &amp; Data'!S803</f>
        <v>228200</v>
      </c>
      <c r="V669" s="39" t="n">
        <f aca="false">Q669-R669-S669-T669-U669</f>
        <v>-188091.137870952</v>
      </c>
      <c r="W669" s="39" t="n">
        <f aca="false">DAY(EOMONTH(C669,0))</f>
        <v>31</v>
      </c>
      <c r="X669" s="40" t="n">
        <f aca="false">E669/W669</f>
        <v>631.322580645161</v>
      </c>
      <c r="Y669" s="39" t="n">
        <f aca="false">R669+S669+T669+U669</f>
        <v>1090554</v>
      </c>
    </row>
    <row r="670" customFormat="false" ht="15" hidden="false" customHeight="false" outlineLevel="0" collapsed="false">
      <c r="A670" s="37" t="str">
        <f aca="false">'Assumptions &amp; Data'!A804</f>
        <v>SM0600</v>
      </c>
      <c r="B670" s="37" t="str">
        <f aca="false">'Assumptions &amp; Data'!B804</f>
        <v>DS050</v>
      </c>
      <c r="C670" s="38" t="n">
        <f aca="false">'Assumptions &amp; Data'!C804</f>
        <v>46266</v>
      </c>
      <c r="D670" s="39" t="str">
        <f aca="false">INDEX('Assumptions &amp; Data'!$B$142:$B$201,MATCH(B670,'Assumptions &amp; Data'!$A$142:$A$201,0))</f>
        <v>Pune</v>
      </c>
      <c r="E670" s="37" t="n">
        <f aca="false">'Assumptions &amp; Data'!D804</f>
        <v>23234</v>
      </c>
      <c r="F670" s="39" t="n">
        <f aca="false">E670*'Assumptions &amp; Data'!E804</f>
        <v>14386492.8</v>
      </c>
      <c r="G670" s="39" t="n">
        <f aca="false">F670*'Assumptions &amp; Data'!F804</f>
        <v>883330.65792</v>
      </c>
      <c r="H670" s="39" t="n">
        <f aca="false">F670-G670</f>
        <v>13503162.14208</v>
      </c>
      <c r="I670" s="39" t="n">
        <f aca="false">H670*'Assumptions &amp; Data'!G804</f>
        <v>2238824.28315686</v>
      </c>
      <c r="J670" s="39" t="n">
        <f aca="false">E670*'Assumptions &amp; Data'!H804</f>
        <v>281596.08</v>
      </c>
      <c r="K670" s="39" t="n">
        <f aca="false">H670*'Assumptions &amp; Data'!I804</f>
        <v>344330.63462304</v>
      </c>
      <c r="L670" s="39" t="n">
        <f aca="false">H670*'Assumptions &amp; Data'!J804</f>
        <v>457757.196616512</v>
      </c>
      <c r="M670" s="39" t="n">
        <f aca="false">I670+J670+K670-L670</f>
        <v>2406993.80116339</v>
      </c>
      <c r="N670" s="39" t="n">
        <f aca="false">E670*'Assumptions &amp; Data'!N804</f>
        <v>914490.24</v>
      </c>
      <c r="O670" s="39" t="n">
        <f aca="false">E670*'Assumptions &amp; Data'!O804</f>
        <v>229087.24</v>
      </c>
      <c r="P670" s="39" t="n">
        <f aca="false">H670*'Assumptions &amp; Data'!P804</f>
        <v>130980.672778176</v>
      </c>
      <c r="Q670" s="39" t="n">
        <f aca="false">M670-N670-O670-P670</f>
        <v>1132435.64838522</v>
      </c>
      <c r="R670" s="39" t="n">
        <f aca="false">'Assumptions &amp; Data'!L804*'Assumptions &amp; Data'!M804</f>
        <v>334815</v>
      </c>
      <c r="S670" s="37" t="n">
        <f aca="false">'Assumptions &amp; Data'!Q804</f>
        <v>392000</v>
      </c>
      <c r="T670" s="37" t="n">
        <f aca="false">'Assumptions &amp; Data'!R804</f>
        <v>157573</v>
      </c>
      <c r="U670" s="37" t="n">
        <f aca="false">'Assumptions &amp; Data'!S804</f>
        <v>244510</v>
      </c>
      <c r="V670" s="39" t="n">
        <f aca="false">Q670-R670-S670-T670-U670</f>
        <v>3537.64838521625</v>
      </c>
      <c r="W670" s="39" t="n">
        <f aca="false">DAY(EOMONTH(C670,0))</f>
        <v>30</v>
      </c>
      <c r="X670" s="40" t="n">
        <f aca="false">E670/W670</f>
        <v>774.466666666667</v>
      </c>
      <c r="Y670" s="39" t="n">
        <f aca="false">R670+S670+T670+U670</f>
        <v>1128898</v>
      </c>
    </row>
    <row r="671" customFormat="false" ht="15" hidden="false" customHeight="false" outlineLevel="0" collapsed="false">
      <c r="A671" s="37" t="str">
        <f aca="false">'Assumptions &amp; Data'!A805</f>
        <v>SM0601</v>
      </c>
      <c r="B671" s="37" t="str">
        <f aca="false">'Assumptions &amp; Data'!B805</f>
        <v>DS051</v>
      </c>
      <c r="C671" s="38" t="n">
        <f aca="false">'Assumptions &amp; Data'!C805</f>
        <v>45931</v>
      </c>
      <c r="D671" s="39" t="str">
        <f aca="false">INDEX('Assumptions &amp; Data'!$B$142:$B$201,MATCH(B671,'Assumptions &amp; Data'!$A$142:$A$201,0))</f>
        <v>Pune</v>
      </c>
      <c r="E671" s="37" t="n">
        <f aca="false">'Assumptions &amp; Data'!D805</f>
        <v>22936</v>
      </c>
      <c r="F671" s="39" t="n">
        <f aca="false">E671*'Assumptions &amp; Data'!E805</f>
        <v>12610212.8</v>
      </c>
      <c r="G671" s="39" t="n">
        <f aca="false">F671*'Assumptions &amp; Data'!F805</f>
        <v>790660.34256</v>
      </c>
      <c r="H671" s="39" t="n">
        <f aca="false">F671-G671</f>
        <v>11819552.45744</v>
      </c>
      <c r="I671" s="39" t="n">
        <f aca="false">H671*'Assumptions &amp; Data'!G805</f>
        <v>1978593.08137546</v>
      </c>
      <c r="J671" s="39" t="n">
        <f aca="false">E671*'Assumptions &amp; Data'!H805</f>
        <v>297938.64</v>
      </c>
      <c r="K671" s="39" t="n">
        <f aca="false">H671*'Assumptions &amp; Data'!I805</f>
        <v>308490.319139184</v>
      </c>
      <c r="L671" s="39" t="n">
        <f aca="false">H671*'Assumptions &amp; Data'!J805</f>
        <v>250574.512097728</v>
      </c>
      <c r="M671" s="39" t="n">
        <f aca="false">I671+J671+K671-L671</f>
        <v>2334447.52841691</v>
      </c>
      <c r="N671" s="39" t="n">
        <f aca="false">E671*'Assumptions &amp; Data'!N805</f>
        <v>857577.04</v>
      </c>
      <c r="O671" s="39" t="n">
        <f aca="false">E671*'Assumptions &amp; Data'!O805</f>
        <v>228442.56</v>
      </c>
      <c r="P671" s="39" t="n">
        <f aca="false">H671*'Assumptions &amp; Data'!P805</f>
        <v>118195.5245744</v>
      </c>
      <c r="Q671" s="39" t="n">
        <f aca="false">M671-N671-O671-P671</f>
        <v>1130232.40384251</v>
      </c>
      <c r="R671" s="39" t="n">
        <f aca="false">'Assumptions &amp; Data'!L805*'Assumptions &amp; Data'!M805</f>
        <v>448500</v>
      </c>
      <c r="S671" s="37" t="n">
        <f aca="false">'Assumptions &amp; Data'!Q805</f>
        <v>444000</v>
      </c>
      <c r="T671" s="37" t="n">
        <f aca="false">'Assumptions &amp; Data'!R805</f>
        <v>162431</v>
      </c>
      <c r="U671" s="37" t="n">
        <f aca="false">'Assumptions &amp; Data'!S805</f>
        <v>233630</v>
      </c>
      <c r="V671" s="39" t="n">
        <f aca="false">Q671-R671-S671-T671-U671</f>
        <v>-158328.596157488</v>
      </c>
      <c r="W671" s="39" t="n">
        <f aca="false">DAY(EOMONTH(C671,0))</f>
        <v>31</v>
      </c>
      <c r="X671" s="40" t="n">
        <f aca="false">E671/W671</f>
        <v>739.870967741936</v>
      </c>
      <c r="Y671" s="39" t="n">
        <f aca="false">R671+S671+T671+U671</f>
        <v>1288561</v>
      </c>
    </row>
    <row r="672" customFormat="false" ht="15" hidden="false" customHeight="false" outlineLevel="0" collapsed="false">
      <c r="A672" s="37" t="str">
        <f aca="false">'Assumptions &amp; Data'!A806</f>
        <v>SM0602</v>
      </c>
      <c r="B672" s="37" t="str">
        <f aca="false">'Assumptions &amp; Data'!B806</f>
        <v>DS051</v>
      </c>
      <c r="C672" s="38" t="n">
        <f aca="false">'Assumptions &amp; Data'!C806</f>
        <v>45962</v>
      </c>
      <c r="D672" s="39" t="str">
        <f aca="false">INDEX('Assumptions &amp; Data'!$B$142:$B$201,MATCH(B672,'Assumptions &amp; Data'!$A$142:$A$201,0))</f>
        <v>Pune</v>
      </c>
      <c r="E672" s="37" t="n">
        <f aca="false">'Assumptions &amp; Data'!D806</f>
        <v>24121</v>
      </c>
      <c r="F672" s="39" t="n">
        <f aca="false">E672*'Assumptions &amp; Data'!E806</f>
        <v>13676607</v>
      </c>
      <c r="G672" s="39" t="n">
        <f aca="false">F672*'Assumptions &amp; Data'!F806</f>
        <v>869832.2052</v>
      </c>
      <c r="H672" s="39" t="n">
        <f aca="false">F672-G672</f>
        <v>12806774.7948</v>
      </c>
      <c r="I672" s="39" t="n">
        <f aca="false">H672*'Assumptions &amp; Data'!G806</f>
        <v>2148976.81056744</v>
      </c>
      <c r="J672" s="39" t="n">
        <f aca="false">E672*'Assumptions &amp; Data'!H806</f>
        <v>306336.7</v>
      </c>
      <c r="K672" s="39" t="n">
        <f aca="false">H672*'Assumptions &amp; Data'!I806</f>
        <v>312485.30499312</v>
      </c>
      <c r="L672" s="39" t="n">
        <f aca="false">H672*'Assumptions &amp; Data'!J806</f>
        <v>256135.495896</v>
      </c>
      <c r="M672" s="39" t="n">
        <f aca="false">I672+J672+K672-L672</f>
        <v>2511663.31966456</v>
      </c>
      <c r="N672" s="39" t="n">
        <f aca="false">E672*'Assumptions &amp; Data'!N806</f>
        <v>875833.51</v>
      </c>
      <c r="O672" s="39" t="n">
        <f aca="false">E672*'Assumptions &amp; Data'!O806</f>
        <v>231802.81</v>
      </c>
      <c r="P672" s="39" t="n">
        <f aca="false">H672*'Assumptions &amp; Data'!P806</f>
        <v>128067.747948</v>
      </c>
      <c r="Q672" s="39" t="n">
        <f aca="false">M672-N672-O672-P672</f>
        <v>1275959.25171656</v>
      </c>
      <c r="R672" s="39" t="n">
        <f aca="false">'Assumptions &amp; Data'!L806*'Assumptions &amp; Data'!M806</f>
        <v>507468</v>
      </c>
      <c r="S672" s="37" t="n">
        <f aca="false">'Assumptions &amp; Data'!Q806</f>
        <v>444000</v>
      </c>
      <c r="T672" s="37" t="n">
        <f aca="false">'Assumptions &amp; Data'!R806</f>
        <v>160918</v>
      </c>
      <c r="U672" s="37" t="n">
        <f aca="false">'Assumptions &amp; Data'!S806</f>
        <v>234641</v>
      </c>
      <c r="V672" s="39" t="n">
        <f aca="false">Q672-R672-S672-T672-U672</f>
        <v>-71067.7482834398</v>
      </c>
      <c r="W672" s="39" t="n">
        <f aca="false">DAY(EOMONTH(C672,0))</f>
        <v>30</v>
      </c>
      <c r="X672" s="40" t="n">
        <f aca="false">E672/W672</f>
        <v>804.033333333333</v>
      </c>
      <c r="Y672" s="39" t="n">
        <f aca="false">R672+S672+T672+U672</f>
        <v>1347027</v>
      </c>
    </row>
    <row r="673" customFormat="false" ht="15" hidden="false" customHeight="false" outlineLevel="0" collapsed="false">
      <c r="A673" s="37" t="str">
        <f aca="false">'Assumptions &amp; Data'!A807</f>
        <v>SM0603</v>
      </c>
      <c r="B673" s="37" t="str">
        <f aca="false">'Assumptions &amp; Data'!B807</f>
        <v>DS051</v>
      </c>
      <c r="C673" s="38" t="n">
        <f aca="false">'Assumptions &amp; Data'!C807</f>
        <v>45992</v>
      </c>
      <c r="D673" s="39" t="str">
        <f aca="false">INDEX('Assumptions &amp; Data'!$B$142:$B$201,MATCH(B673,'Assumptions &amp; Data'!$A$142:$A$201,0))</f>
        <v>Pune</v>
      </c>
      <c r="E673" s="37" t="n">
        <f aca="false">'Assumptions &amp; Data'!D807</f>
        <v>27473</v>
      </c>
      <c r="F673" s="39" t="n">
        <f aca="false">E673*'Assumptions &amp; Data'!E807</f>
        <v>15681588.4</v>
      </c>
      <c r="G673" s="39" t="n">
        <f aca="false">F673*'Assumptions &amp; Data'!F807</f>
        <v>972258.4808</v>
      </c>
      <c r="H673" s="39" t="n">
        <f aca="false">F673-G673</f>
        <v>14709329.9192</v>
      </c>
      <c r="I673" s="39" t="n">
        <f aca="false">H673*'Assumptions &amp; Data'!G807</f>
        <v>2485876.7563448</v>
      </c>
      <c r="J673" s="39" t="n">
        <f aca="false">E673*'Assumptions &amp; Data'!H807</f>
        <v>369237.12</v>
      </c>
      <c r="K673" s="39" t="n">
        <f aca="false">H673*'Assumptions &amp; Data'!I807</f>
        <v>423628.70167296</v>
      </c>
      <c r="L673" s="39" t="n">
        <f aca="false">H673*'Assumptions &amp; Data'!J807</f>
        <v>278006.33547288</v>
      </c>
      <c r="M673" s="39" t="n">
        <f aca="false">I673+J673+K673-L673</f>
        <v>3000736.24254488</v>
      </c>
      <c r="N673" s="39" t="n">
        <f aca="false">E673*'Assumptions &amp; Data'!N807</f>
        <v>996995.17</v>
      </c>
      <c r="O673" s="39" t="n">
        <f aca="false">E673*'Assumptions &amp; Data'!O807</f>
        <v>268136.48</v>
      </c>
      <c r="P673" s="39" t="n">
        <f aca="false">H673*'Assumptions &amp; Data'!P807</f>
        <v>142680.50021624</v>
      </c>
      <c r="Q673" s="39" t="n">
        <f aca="false">M673-N673-O673-P673</f>
        <v>1592924.09232864</v>
      </c>
      <c r="R673" s="39" t="n">
        <f aca="false">'Assumptions &amp; Data'!L807*'Assumptions &amp; Data'!M807</f>
        <v>527445</v>
      </c>
      <c r="S673" s="37" t="n">
        <f aca="false">'Assumptions &amp; Data'!Q807</f>
        <v>444000</v>
      </c>
      <c r="T673" s="37" t="n">
        <f aca="false">'Assumptions &amp; Data'!R807</f>
        <v>159529</v>
      </c>
      <c r="U673" s="37" t="n">
        <f aca="false">'Assumptions &amp; Data'!S807</f>
        <v>239247</v>
      </c>
      <c r="V673" s="39" t="n">
        <f aca="false">Q673-R673-S673-T673-U673</f>
        <v>222703.09232864</v>
      </c>
      <c r="W673" s="39" t="n">
        <f aca="false">DAY(EOMONTH(C673,0))</f>
        <v>31</v>
      </c>
      <c r="X673" s="40" t="n">
        <f aca="false">E673/W673</f>
        <v>886.225806451613</v>
      </c>
      <c r="Y673" s="39" t="n">
        <f aca="false">R673+S673+T673+U673</f>
        <v>1370221</v>
      </c>
    </row>
    <row r="674" customFormat="false" ht="15" hidden="false" customHeight="false" outlineLevel="0" collapsed="false">
      <c r="A674" s="37" t="str">
        <f aca="false">'Assumptions &amp; Data'!A808</f>
        <v>SM0604</v>
      </c>
      <c r="B674" s="37" t="str">
        <f aca="false">'Assumptions &amp; Data'!B808</f>
        <v>DS051</v>
      </c>
      <c r="C674" s="38" t="n">
        <f aca="false">'Assumptions &amp; Data'!C808</f>
        <v>46023</v>
      </c>
      <c r="D674" s="39" t="str">
        <f aca="false">INDEX('Assumptions &amp; Data'!$B$142:$B$201,MATCH(B674,'Assumptions &amp; Data'!$A$142:$A$201,0))</f>
        <v>Pune</v>
      </c>
      <c r="E674" s="37" t="n">
        <f aca="false">'Assumptions &amp; Data'!D808</f>
        <v>27536</v>
      </c>
      <c r="F674" s="39" t="n">
        <f aca="false">E674*'Assumptions &amp; Data'!E808</f>
        <v>15725809.6</v>
      </c>
      <c r="G674" s="39" t="n">
        <f aca="false">F674*'Assumptions &amp; Data'!F808</f>
        <v>967137.2904</v>
      </c>
      <c r="H674" s="39" t="n">
        <f aca="false">F674-G674</f>
        <v>14758672.3096</v>
      </c>
      <c r="I674" s="39" t="n">
        <f aca="false">H674*'Assumptions &amp; Data'!G808</f>
        <v>2504546.69093912</v>
      </c>
      <c r="J674" s="39" t="n">
        <f aca="false">E674*'Assumptions &amp; Data'!H808</f>
        <v>353837.6</v>
      </c>
      <c r="K674" s="39" t="n">
        <f aca="false">H674*'Assumptions &amp; Data'!I808</f>
        <v>413242.8246688</v>
      </c>
      <c r="L674" s="39" t="n">
        <f aca="false">H674*'Assumptions &amp; Data'!J808</f>
        <v>262704.36711088</v>
      </c>
      <c r="M674" s="39" t="n">
        <f aca="false">I674+J674+K674-L674</f>
        <v>3008922.74849704</v>
      </c>
      <c r="N674" s="39" t="n">
        <f aca="false">E674*'Assumptions &amp; Data'!N808</f>
        <v>1002585.76</v>
      </c>
      <c r="O674" s="39" t="n">
        <f aca="false">E674*'Assumptions &amp; Data'!O808</f>
        <v>263794.88</v>
      </c>
      <c r="P674" s="39" t="n">
        <f aca="false">H674*'Assumptions &amp; Data'!P808</f>
        <v>152014.32478888</v>
      </c>
      <c r="Q674" s="39" t="n">
        <f aca="false">M674-N674-O674-P674</f>
        <v>1590527.78370816</v>
      </c>
      <c r="R674" s="39" t="n">
        <f aca="false">'Assumptions &amp; Data'!L808*'Assumptions &amp; Data'!M808</f>
        <v>508378</v>
      </c>
      <c r="S674" s="37" t="n">
        <f aca="false">'Assumptions &amp; Data'!Q808</f>
        <v>444000</v>
      </c>
      <c r="T674" s="37" t="n">
        <f aca="false">'Assumptions &amp; Data'!R808</f>
        <v>159304</v>
      </c>
      <c r="U674" s="37" t="n">
        <f aca="false">'Assumptions &amp; Data'!S808</f>
        <v>240346</v>
      </c>
      <c r="V674" s="39" t="n">
        <f aca="false">Q674-R674-S674-T674-U674</f>
        <v>238499.78370816</v>
      </c>
      <c r="W674" s="39" t="n">
        <f aca="false">DAY(EOMONTH(C674,0))</f>
        <v>31</v>
      </c>
      <c r="X674" s="40" t="n">
        <f aca="false">E674/W674</f>
        <v>888.258064516129</v>
      </c>
      <c r="Y674" s="39" t="n">
        <f aca="false">R674+S674+T674+U674</f>
        <v>1352028</v>
      </c>
    </row>
    <row r="675" customFormat="false" ht="15" hidden="false" customHeight="false" outlineLevel="0" collapsed="false">
      <c r="A675" s="37" t="str">
        <f aca="false">'Assumptions &amp; Data'!A809</f>
        <v>SM0605</v>
      </c>
      <c r="B675" s="37" t="str">
        <f aca="false">'Assumptions &amp; Data'!B809</f>
        <v>DS051</v>
      </c>
      <c r="C675" s="38" t="n">
        <f aca="false">'Assumptions &amp; Data'!C809</f>
        <v>46054</v>
      </c>
      <c r="D675" s="39" t="str">
        <f aca="false">INDEX('Assumptions &amp; Data'!$B$142:$B$201,MATCH(B675,'Assumptions &amp; Data'!$A$142:$A$201,0))</f>
        <v>Pune</v>
      </c>
      <c r="E675" s="37" t="n">
        <f aca="false">'Assumptions &amp; Data'!D809</f>
        <v>25464</v>
      </c>
      <c r="F675" s="39" t="n">
        <f aca="false">E675*'Assumptions &amp; Data'!E809</f>
        <v>14389706.4</v>
      </c>
      <c r="G675" s="39" t="n">
        <f aca="false">F675*'Assumptions &amp; Data'!F809</f>
        <v>876333.11976</v>
      </c>
      <c r="H675" s="39" t="n">
        <f aca="false">F675-G675</f>
        <v>13513373.28024</v>
      </c>
      <c r="I675" s="39" t="n">
        <f aca="false">H675*'Assumptions &amp; Data'!G809</f>
        <v>2293219.44565673</v>
      </c>
      <c r="J675" s="39" t="n">
        <f aca="false">E675*'Assumptions &amp; Data'!H809</f>
        <v>326957.76</v>
      </c>
      <c r="K675" s="39" t="n">
        <f aca="false">H675*'Assumptions &amp; Data'!I809</f>
        <v>358104.39192636</v>
      </c>
      <c r="L675" s="39" t="n">
        <f aca="false">H675*'Assumptions &amp; Data'!J809</f>
        <v>243240.71904432</v>
      </c>
      <c r="M675" s="39" t="n">
        <f aca="false">I675+J675+K675-L675</f>
        <v>2735040.87853877</v>
      </c>
      <c r="N675" s="39" t="n">
        <f aca="false">E675*'Assumptions &amp; Data'!N809</f>
        <v>920523.6</v>
      </c>
      <c r="O675" s="39" t="n">
        <f aca="false">E675*'Assumptions &amp; Data'!O809</f>
        <v>249292.56</v>
      </c>
      <c r="P675" s="39" t="n">
        <f aca="false">H675*'Assumptions &amp; Data'!P809</f>
        <v>136485.070130424</v>
      </c>
      <c r="Q675" s="39" t="n">
        <f aca="false">M675-N675-O675-P675</f>
        <v>1428739.64840834</v>
      </c>
      <c r="R675" s="39" t="n">
        <f aca="false">'Assumptions &amp; Data'!L809*'Assumptions &amp; Data'!M809</f>
        <v>528417</v>
      </c>
      <c r="S675" s="37" t="n">
        <f aca="false">'Assumptions &amp; Data'!Q809</f>
        <v>444000</v>
      </c>
      <c r="T675" s="37" t="n">
        <f aca="false">'Assumptions &amp; Data'!R809</f>
        <v>163308</v>
      </c>
      <c r="U675" s="37" t="n">
        <f aca="false">'Assumptions &amp; Data'!S809</f>
        <v>196825</v>
      </c>
      <c r="V675" s="39" t="n">
        <f aca="false">Q675-R675-S675-T675-U675</f>
        <v>96189.6484083436</v>
      </c>
      <c r="W675" s="39" t="n">
        <f aca="false">DAY(EOMONTH(C675,0))</f>
        <v>28</v>
      </c>
      <c r="X675" s="40" t="n">
        <f aca="false">E675/W675</f>
        <v>909.428571428571</v>
      </c>
      <c r="Y675" s="39" t="n">
        <f aca="false">R675+S675+T675+U675</f>
        <v>1332550</v>
      </c>
    </row>
    <row r="676" customFormat="false" ht="15" hidden="false" customHeight="false" outlineLevel="0" collapsed="false">
      <c r="A676" s="37" t="str">
        <f aca="false">'Assumptions &amp; Data'!A810</f>
        <v>SM0606</v>
      </c>
      <c r="B676" s="37" t="str">
        <f aca="false">'Assumptions &amp; Data'!B810</f>
        <v>DS051</v>
      </c>
      <c r="C676" s="38" t="n">
        <f aca="false">'Assumptions &amp; Data'!C810</f>
        <v>46082</v>
      </c>
      <c r="D676" s="39" t="str">
        <f aca="false">INDEX('Assumptions &amp; Data'!$B$142:$B$201,MATCH(B676,'Assumptions &amp; Data'!$A$142:$A$201,0))</f>
        <v>Pune</v>
      </c>
      <c r="E676" s="37" t="n">
        <f aca="false">'Assumptions &amp; Data'!D810</f>
        <v>29830</v>
      </c>
      <c r="F676" s="39" t="n">
        <f aca="false">E676*'Assumptions &amp; Data'!E810</f>
        <v>16886763</v>
      </c>
      <c r="G676" s="39" t="n">
        <f aca="false">F676*'Assumptions &amp; Data'!F810</f>
        <v>1025026.5141</v>
      </c>
      <c r="H676" s="39" t="n">
        <f aca="false">F676-G676</f>
        <v>15861736.4859</v>
      </c>
      <c r="I676" s="39" t="n">
        <f aca="false">H676*'Assumptions &amp; Data'!G810</f>
        <v>2707598.41814313</v>
      </c>
      <c r="J676" s="39" t="n">
        <f aca="false">E676*'Assumptions &amp; Data'!H810</f>
        <v>387790</v>
      </c>
      <c r="K676" s="39" t="n">
        <f aca="false">H676*'Assumptions &amp; Data'!I810</f>
        <v>450473.31619956</v>
      </c>
      <c r="L676" s="39" t="n">
        <f aca="false">H676*'Assumptions &amp; Data'!J810</f>
        <v>277580.38850325</v>
      </c>
      <c r="M676" s="39" t="n">
        <f aca="false">I676+J676+K676-L676</f>
        <v>3268281.34583944</v>
      </c>
      <c r="N676" s="39" t="n">
        <f aca="false">E676*'Assumptions &amp; Data'!N810</f>
        <v>1062842.9</v>
      </c>
      <c r="O676" s="39" t="n">
        <f aca="false">E676*'Assumptions &amp; Data'!O810</f>
        <v>291737.4</v>
      </c>
      <c r="P676" s="39" t="n">
        <f aca="false">H676*'Assumptions &amp; Data'!P810</f>
        <v>161789.71215618</v>
      </c>
      <c r="Q676" s="39" t="n">
        <f aca="false">M676-N676-O676-P676</f>
        <v>1751911.33368326</v>
      </c>
      <c r="R676" s="39" t="n">
        <f aca="false">'Assumptions &amp; Data'!L810*'Assumptions &amp; Data'!M810</f>
        <v>568081</v>
      </c>
      <c r="S676" s="37" t="n">
        <f aca="false">'Assumptions &amp; Data'!Q810</f>
        <v>444000</v>
      </c>
      <c r="T676" s="37" t="n">
        <f aca="false">'Assumptions &amp; Data'!R810</f>
        <v>160355</v>
      </c>
      <c r="U676" s="37" t="n">
        <f aca="false">'Assumptions &amp; Data'!S810</f>
        <v>249904</v>
      </c>
      <c r="V676" s="39" t="n">
        <f aca="false">Q676-R676-S676-T676-U676</f>
        <v>329571.33368326</v>
      </c>
      <c r="W676" s="39" t="n">
        <f aca="false">DAY(EOMONTH(C676,0))</f>
        <v>31</v>
      </c>
      <c r="X676" s="40" t="n">
        <f aca="false">E676/W676</f>
        <v>962.258064516129</v>
      </c>
      <c r="Y676" s="39" t="n">
        <f aca="false">R676+S676+T676+U676</f>
        <v>1422340</v>
      </c>
    </row>
    <row r="677" customFormat="false" ht="15" hidden="false" customHeight="false" outlineLevel="0" collapsed="false">
      <c r="A677" s="37" t="str">
        <f aca="false">'Assumptions &amp; Data'!A811</f>
        <v>SM0607</v>
      </c>
      <c r="B677" s="37" t="str">
        <f aca="false">'Assumptions &amp; Data'!B811</f>
        <v>DS051</v>
      </c>
      <c r="C677" s="38" t="n">
        <f aca="false">'Assumptions &amp; Data'!C811</f>
        <v>46113</v>
      </c>
      <c r="D677" s="39" t="str">
        <f aca="false">INDEX('Assumptions &amp; Data'!$B$142:$B$201,MATCH(B677,'Assumptions &amp; Data'!$A$142:$A$201,0))</f>
        <v>Pune</v>
      </c>
      <c r="E677" s="37" t="n">
        <f aca="false">'Assumptions &amp; Data'!D811</f>
        <v>32345</v>
      </c>
      <c r="F677" s="39" t="n">
        <f aca="false">E677*'Assumptions &amp; Data'!E811</f>
        <v>18462526</v>
      </c>
      <c r="G677" s="39" t="n">
        <f aca="false">F677*'Assumptions &amp; Data'!F811</f>
        <v>1083750.2762</v>
      </c>
      <c r="H677" s="39" t="n">
        <f aca="false">F677-G677</f>
        <v>17378775.7238</v>
      </c>
      <c r="I677" s="39" t="n">
        <f aca="false">H677*'Assumptions &amp; Data'!G811</f>
        <v>2968294.89362504</v>
      </c>
      <c r="J677" s="39" t="n">
        <f aca="false">E677*'Assumptions &amp; Data'!H811</f>
        <v>386846.2</v>
      </c>
      <c r="K677" s="39" t="n">
        <f aca="false">H677*'Assumptions &amp; Data'!I811</f>
        <v>512673.8838521</v>
      </c>
      <c r="L677" s="39" t="n">
        <f aca="false">H677*'Assumptions &amp; Data'!J811</f>
        <v>305866.45273888</v>
      </c>
      <c r="M677" s="39" t="n">
        <f aca="false">I677+J677+K677-L677</f>
        <v>3561948.52473826</v>
      </c>
      <c r="N677" s="39" t="n">
        <f aca="false">E677*'Assumptions &amp; Data'!N811</f>
        <v>1150511.65</v>
      </c>
      <c r="O677" s="39" t="n">
        <f aca="false">E677*'Assumptions &amp; Data'!O811</f>
        <v>319245.15</v>
      </c>
      <c r="P677" s="39" t="n">
        <f aca="false">H677*'Assumptions &amp; Data'!P811</f>
        <v>177263.51238276</v>
      </c>
      <c r="Q677" s="39" t="n">
        <f aca="false">M677-N677-O677-P677</f>
        <v>1914928.2123555</v>
      </c>
      <c r="R677" s="39" t="n">
        <f aca="false">'Assumptions &amp; Data'!L811*'Assumptions &amp; Data'!M811</f>
        <v>607786</v>
      </c>
      <c r="S677" s="37" t="n">
        <f aca="false">'Assumptions &amp; Data'!Q811</f>
        <v>444000</v>
      </c>
      <c r="T677" s="37" t="n">
        <f aca="false">'Assumptions &amp; Data'!R811</f>
        <v>163018</v>
      </c>
      <c r="U677" s="37" t="n">
        <f aca="false">'Assumptions &amp; Data'!S811</f>
        <v>233270</v>
      </c>
      <c r="V677" s="39" t="n">
        <f aca="false">Q677-R677-S677-T677-U677</f>
        <v>466854.2123555</v>
      </c>
      <c r="W677" s="39" t="n">
        <f aca="false">DAY(EOMONTH(C677,0))</f>
        <v>30</v>
      </c>
      <c r="X677" s="40" t="n">
        <f aca="false">E677/W677</f>
        <v>1078.16666666667</v>
      </c>
      <c r="Y677" s="39" t="n">
        <f aca="false">R677+S677+T677+U677</f>
        <v>1448074</v>
      </c>
    </row>
    <row r="678" customFormat="false" ht="15" hidden="false" customHeight="false" outlineLevel="0" collapsed="false">
      <c r="A678" s="37" t="str">
        <f aca="false">'Assumptions &amp; Data'!A812</f>
        <v>SM0608</v>
      </c>
      <c r="B678" s="37" t="str">
        <f aca="false">'Assumptions &amp; Data'!B812</f>
        <v>DS051</v>
      </c>
      <c r="C678" s="38" t="n">
        <f aca="false">'Assumptions &amp; Data'!C812</f>
        <v>46143</v>
      </c>
      <c r="D678" s="39" t="str">
        <f aca="false">INDEX('Assumptions &amp; Data'!$B$142:$B$201,MATCH(B678,'Assumptions &amp; Data'!$A$142:$A$201,0))</f>
        <v>Pune</v>
      </c>
      <c r="E678" s="37" t="n">
        <f aca="false">'Assumptions &amp; Data'!D812</f>
        <v>37572</v>
      </c>
      <c r="F678" s="39" t="n">
        <f aca="false">E678*'Assumptions &amp; Data'!E812</f>
        <v>21585114</v>
      </c>
      <c r="G678" s="39" t="n">
        <f aca="false">F678*'Assumptions &amp; Data'!F812</f>
        <v>1284314.283</v>
      </c>
      <c r="H678" s="39" t="n">
        <f aca="false">F678-G678</f>
        <v>20300799.717</v>
      </c>
      <c r="I678" s="39" t="n">
        <f aca="false">H678*'Assumptions &amp; Data'!G812</f>
        <v>3445045.7119749</v>
      </c>
      <c r="J678" s="39" t="n">
        <f aca="false">E678*'Assumptions &amp; Data'!H812</f>
        <v>491817.48</v>
      </c>
      <c r="K678" s="39" t="n">
        <f aca="false">H678*'Assumptions &amp; Data'!I812</f>
        <v>613084.1514534</v>
      </c>
      <c r="L678" s="39" t="n">
        <f aca="false">H678*'Assumptions &amp; Data'!J812</f>
        <v>351203.8351041</v>
      </c>
      <c r="M678" s="39" t="n">
        <f aca="false">I678+J678+K678-L678</f>
        <v>4198743.5083242</v>
      </c>
      <c r="N678" s="39" t="n">
        <f aca="false">E678*'Assumptions &amp; Data'!N812</f>
        <v>1299615.48</v>
      </c>
      <c r="O678" s="39" t="n">
        <f aca="false">E678*'Assumptions &amp; Data'!O812</f>
        <v>371587.08</v>
      </c>
      <c r="P678" s="39" t="n">
        <f aca="false">H678*'Assumptions &amp; Data'!P812</f>
        <v>203007.99717</v>
      </c>
      <c r="Q678" s="39" t="n">
        <f aca="false">M678-N678-O678-P678</f>
        <v>2324532.9511542</v>
      </c>
      <c r="R678" s="39" t="n">
        <f aca="false">'Assumptions &amp; Data'!L812*'Assumptions &amp; Data'!M812</f>
        <v>706464</v>
      </c>
      <c r="S678" s="37" t="n">
        <f aca="false">'Assumptions &amp; Data'!Q812</f>
        <v>444000</v>
      </c>
      <c r="T678" s="37" t="n">
        <f aca="false">'Assumptions &amp; Data'!R812</f>
        <v>159352</v>
      </c>
      <c r="U678" s="37" t="n">
        <f aca="false">'Assumptions &amp; Data'!S812</f>
        <v>245650</v>
      </c>
      <c r="V678" s="39" t="n">
        <f aca="false">Q678-R678-S678-T678-U678</f>
        <v>769066.951154199</v>
      </c>
      <c r="W678" s="39" t="n">
        <f aca="false">DAY(EOMONTH(C678,0))</f>
        <v>31</v>
      </c>
      <c r="X678" s="40" t="n">
        <f aca="false">E678/W678</f>
        <v>1212</v>
      </c>
      <c r="Y678" s="39" t="n">
        <f aca="false">R678+S678+T678+U678</f>
        <v>1555466</v>
      </c>
    </row>
    <row r="679" customFormat="false" ht="15" hidden="false" customHeight="false" outlineLevel="0" collapsed="false">
      <c r="A679" s="37" t="str">
        <f aca="false">'Assumptions &amp; Data'!A813</f>
        <v>SM0609</v>
      </c>
      <c r="B679" s="37" t="str">
        <f aca="false">'Assumptions &amp; Data'!B813</f>
        <v>DS051</v>
      </c>
      <c r="C679" s="38" t="n">
        <f aca="false">'Assumptions &amp; Data'!C813</f>
        <v>46174</v>
      </c>
      <c r="D679" s="39" t="str">
        <f aca="false">INDEX('Assumptions &amp; Data'!$B$142:$B$201,MATCH(B679,'Assumptions &amp; Data'!$A$142:$A$201,0))</f>
        <v>Pune</v>
      </c>
      <c r="E679" s="37" t="n">
        <f aca="false">'Assumptions &amp; Data'!D813</f>
        <v>35157</v>
      </c>
      <c r="F679" s="39" t="n">
        <f aca="false">E679*'Assumptions &amp; Data'!E813</f>
        <v>19571901.9</v>
      </c>
      <c r="G679" s="39" t="n">
        <f aca="false">F679*'Assumptions &amp; Data'!F813</f>
        <v>1217372.29818</v>
      </c>
      <c r="H679" s="39" t="n">
        <f aca="false">F679-G679</f>
        <v>18354529.60182</v>
      </c>
      <c r="I679" s="39" t="n">
        <f aca="false">H679*'Assumptions &amp; Data'!G813</f>
        <v>3109257.31454831</v>
      </c>
      <c r="J679" s="39" t="n">
        <f aca="false">E679*'Assumptions &amp; Data'!H813</f>
        <v>456337.86</v>
      </c>
      <c r="K679" s="39" t="n">
        <f aca="false">H679*'Assumptions &amp; Data'!I813</f>
        <v>532281.35845278</v>
      </c>
      <c r="L679" s="39" t="n">
        <f aca="false">H679*'Assumptions &amp; Data'!J813</f>
        <v>343229.703554034</v>
      </c>
      <c r="M679" s="39" t="n">
        <f aca="false">I679+J679+K679-L679</f>
        <v>3754646.82944705</v>
      </c>
      <c r="N679" s="39" t="n">
        <f aca="false">E679*'Assumptions &amp; Data'!N813</f>
        <v>1242448.38</v>
      </c>
      <c r="O679" s="39" t="n">
        <f aca="false">E679*'Assumptions &amp; Data'!O813</f>
        <v>349460.58</v>
      </c>
      <c r="P679" s="39" t="n">
        <f aca="false">H679*'Assumptions &amp; Data'!P813</f>
        <v>183545.2960182</v>
      </c>
      <c r="Q679" s="39" t="n">
        <f aca="false">M679-N679-O679-P679</f>
        <v>1979192.57342885</v>
      </c>
      <c r="R679" s="39" t="n">
        <f aca="false">'Assumptions &amp; Data'!L813*'Assumptions &amp; Data'!M813</f>
        <v>648186</v>
      </c>
      <c r="S679" s="37" t="n">
        <f aca="false">'Assumptions &amp; Data'!Q813</f>
        <v>444000</v>
      </c>
      <c r="T679" s="37" t="n">
        <f aca="false">'Assumptions &amp; Data'!R813</f>
        <v>163879</v>
      </c>
      <c r="U679" s="37" t="n">
        <f aca="false">'Assumptions &amp; Data'!S813</f>
        <v>227631</v>
      </c>
      <c r="V679" s="39" t="n">
        <f aca="false">Q679-R679-S679-T679-U679</f>
        <v>495496.573428854</v>
      </c>
      <c r="W679" s="39" t="n">
        <f aca="false">DAY(EOMONTH(C679,0))</f>
        <v>30</v>
      </c>
      <c r="X679" s="40" t="n">
        <f aca="false">E679/W679</f>
        <v>1171.9</v>
      </c>
      <c r="Y679" s="39" t="n">
        <f aca="false">R679+S679+T679+U679</f>
        <v>1483696</v>
      </c>
    </row>
    <row r="680" customFormat="false" ht="15" hidden="false" customHeight="false" outlineLevel="0" collapsed="false">
      <c r="A680" s="37" t="str">
        <f aca="false">'Assumptions &amp; Data'!A814</f>
        <v>SM0610</v>
      </c>
      <c r="B680" s="37" t="str">
        <f aca="false">'Assumptions &amp; Data'!B814</f>
        <v>DS051</v>
      </c>
      <c r="C680" s="38" t="n">
        <f aca="false">'Assumptions &amp; Data'!C814</f>
        <v>46204</v>
      </c>
      <c r="D680" s="39" t="str">
        <f aca="false">INDEX('Assumptions &amp; Data'!$B$142:$B$201,MATCH(B680,'Assumptions &amp; Data'!$A$142:$A$201,0))</f>
        <v>Pune</v>
      </c>
      <c r="E680" s="37" t="n">
        <f aca="false">'Assumptions &amp; Data'!D814</f>
        <v>32041</v>
      </c>
      <c r="F680" s="39" t="n">
        <f aca="false">E680*'Assumptions &amp; Data'!E814</f>
        <v>18007042</v>
      </c>
      <c r="G680" s="39" t="n">
        <f aca="false">F680*'Assumptions &amp; Data'!F814</f>
        <v>979583.0848</v>
      </c>
      <c r="H680" s="39" t="n">
        <f aca="false">F680-G680</f>
        <v>17027458.9152</v>
      </c>
      <c r="I680" s="39" t="n">
        <f aca="false">H680*'Assumptions &amp; Data'!G814</f>
        <v>2872532.31899424</v>
      </c>
      <c r="J680" s="39" t="n">
        <f aca="false">E680*'Assumptions &amp; Data'!H814</f>
        <v>404037.01</v>
      </c>
      <c r="K680" s="39" t="n">
        <f aca="false">H680*'Assumptions &amp; Data'!I814</f>
        <v>486985.32497472</v>
      </c>
      <c r="L680" s="39" t="n">
        <f aca="false">H680*'Assumptions &amp; Data'!J814</f>
        <v>311602.49814816</v>
      </c>
      <c r="M680" s="39" t="n">
        <f aca="false">I680+J680+K680-L680</f>
        <v>3451952.1558208</v>
      </c>
      <c r="N680" s="39" t="n">
        <f aca="false">E680*'Assumptions &amp; Data'!N814</f>
        <v>1101889.99</v>
      </c>
      <c r="O680" s="39" t="n">
        <f aca="false">E680*'Assumptions &amp; Data'!O814</f>
        <v>306952.78</v>
      </c>
      <c r="P680" s="39" t="n">
        <f aca="false">H680*'Assumptions &amp; Data'!P814</f>
        <v>170274.589152</v>
      </c>
      <c r="Q680" s="39" t="n">
        <f aca="false">M680-N680-O680-P680</f>
        <v>1872834.7966688</v>
      </c>
      <c r="R680" s="39" t="n">
        <f aca="false">'Assumptions &amp; Data'!L814*'Assumptions &amp; Data'!M814</f>
        <v>589800</v>
      </c>
      <c r="S680" s="37" t="n">
        <f aca="false">'Assumptions &amp; Data'!Q814</f>
        <v>444000</v>
      </c>
      <c r="T680" s="37" t="n">
        <f aca="false">'Assumptions &amp; Data'!R814</f>
        <v>169751</v>
      </c>
      <c r="U680" s="37" t="n">
        <f aca="false">'Assumptions &amp; Data'!S814</f>
        <v>180782</v>
      </c>
      <c r="V680" s="39" t="n">
        <f aca="false">Q680-R680-S680-T680-U680</f>
        <v>488501.7966688</v>
      </c>
      <c r="W680" s="39" t="n">
        <f aca="false">DAY(EOMONTH(C680,0))</f>
        <v>31</v>
      </c>
      <c r="X680" s="40" t="n">
        <f aca="false">E680/W680</f>
        <v>1033.58064516129</v>
      </c>
      <c r="Y680" s="39" t="n">
        <f aca="false">R680+S680+T680+U680</f>
        <v>1384333</v>
      </c>
    </row>
    <row r="681" customFormat="false" ht="15" hidden="false" customHeight="false" outlineLevel="0" collapsed="false">
      <c r="A681" s="37" t="str">
        <f aca="false">'Assumptions &amp; Data'!A815</f>
        <v>SM0611</v>
      </c>
      <c r="B681" s="37" t="str">
        <f aca="false">'Assumptions &amp; Data'!B815</f>
        <v>DS051</v>
      </c>
      <c r="C681" s="38" t="n">
        <f aca="false">'Assumptions &amp; Data'!C815</f>
        <v>46235</v>
      </c>
      <c r="D681" s="39" t="str">
        <f aca="false">INDEX('Assumptions &amp; Data'!$B$142:$B$201,MATCH(B681,'Assumptions &amp; Data'!$A$142:$A$201,0))</f>
        <v>Pune</v>
      </c>
      <c r="E681" s="37" t="n">
        <f aca="false">'Assumptions &amp; Data'!D815</f>
        <v>34923</v>
      </c>
      <c r="F681" s="39" t="n">
        <f aca="false">E681*'Assumptions &amp; Data'!E815</f>
        <v>19581326.1</v>
      </c>
      <c r="G681" s="39" t="n">
        <f aca="false">F681*'Assumptions &amp; Data'!F815</f>
        <v>1098512.39421</v>
      </c>
      <c r="H681" s="39" t="n">
        <f aca="false">F681-G681</f>
        <v>18482813.70579</v>
      </c>
      <c r="I681" s="39" t="n">
        <f aca="false">H681*'Assumptions &amp; Data'!G815</f>
        <v>3151319.7368372</v>
      </c>
      <c r="J681" s="39" t="n">
        <f aca="false">E681*'Assumptions &amp; Data'!H815</f>
        <v>442125.18</v>
      </c>
      <c r="K681" s="39" t="n">
        <f aca="false">H681*'Assumptions &amp; Data'!I815</f>
        <v>558180.973914858</v>
      </c>
      <c r="L681" s="39" t="n">
        <f aca="false">H681*'Assumptions &amp; Data'!J815</f>
        <v>356718.304521747</v>
      </c>
      <c r="M681" s="39" t="n">
        <f aca="false">I681+J681+K681-L681</f>
        <v>3794907.58623031</v>
      </c>
      <c r="N681" s="39" t="n">
        <f aca="false">E681*'Assumptions &amp; Data'!N815</f>
        <v>1209034.26</v>
      </c>
      <c r="O681" s="39" t="n">
        <f aca="false">E681*'Assumptions &amp; Data'!O815</f>
        <v>330720.81</v>
      </c>
      <c r="P681" s="39" t="n">
        <f aca="false">H681*'Assumptions &amp; Data'!P815</f>
        <v>184828.1370579</v>
      </c>
      <c r="Q681" s="39" t="n">
        <f aca="false">M681-N681-O681-P681</f>
        <v>2070324.37917241</v>
      </c>
      <c r="R681" s="39" t="n">
        <f aca="false">'Assumptions &amp; Data'!L815*'Assumptions &amp; Data'!M815</f>
        <v>669018</v>
      </c>
      <c r="S681" s="37" t="n">
        <f aca="false">'Assumptions &amp; Data'!Q815</f>
        <v>444000</v>
      </c>
      <c r="T681" s="37" t="n">
        <f aca="false">'Assumptions &amp; Data'!R815</f>
        <v>163885</v>
      </c>
      <c r="U681" s="37" t="n">
        <f aca="false">'Assumptions &amp; Data'!S815</f>
        <v>197273</v>
      </c>
      <c r="V681" s="39" t="n">
        <f aca="false">Q681-R681-S681-T681-U681</f>
        <v>596148.379172407</v>
      </c>
      <c r="W681" s="39" t="n">
        <f aca="false">DAY(EOMONTH(C681,0))</f>
        <v>31</v>
      </c>
      <c r="X681" s="40" t="n">
        <f aca="false">E681/W681</f>
        <v>1126.54838709677</v>
      </c>
      <c r="Y681" s="39" t="n">
        <f aca="false">R681+S681+T681+U681</f>
        <v>1474176</v>
      </c>
    </row>
    <row r="682" customFormat="false" ht="15" hidden="false" customHeight="false" outlineLevel="0" collapsed="false">
      <c r="A682" s="37" t="str">
        <f aca="false">'Assumptions &amp; Data'!A816</f>
        <v>SM0612</v>
      </c>
      <c r="B682" s="37" t="str">
        <f aca="false">'Assumptions &amp; Data'!B816</f>
        <v>DS051</v>
      </c>
      <c r="C682" s="38" t="n">
        <f aca="false">'Assumptions &amp; Data'!C816</f>
        <v>46266</v>
      </c>
      <c r="D682" s="39" t="str">
        <f aca="false">INDEX('Assumptions &amp; Data'!$B$142:$B$201,MATCH(B682,'Assumptions &amp; Data'!$A$142:$A$201,0))</f>
        <v>Pune</v>
      </c>
      <c r="E682" s="37" t="n">
        <f aca="false">'Assumptions &amp; Data'!D816</f>
        <v>36349</v>
      </c>
      <c r="F682" s="39" t="n">
        <f aca="false">E682*'Assumptions &amp; Data'!E816</f>
        <v>20206409.1</v>
      </c>
      <c r="G682" s="39" t="n">
        <f aca="false">F682*'Assumptions &amp; Data'!F816</f>
        <v>1109331.85959</v>
      </c>
      <c r="H682" s="39" t="n">
        <f aca="false">F682-G682</f>
        <v>19097077.24041</v>
      </c>
      <c r="I682" s="39" t="n">
        <f aca="false">H682*'Assumptions &amp; Data'!G816</f>
        <v>3307613.77803901</v>
      </c>
      <c r="J682" s="39" t="n">
        <f aca="false">E682*'Assumptions &amp; Data'!H816</f>
        <v>456179.95</v>
      </c>
      <c r="K682" s="39" t="n">
        <f aca="false">H682*'Assumptions &amp; Data'!I816</f>
        <v>588189.979004628</v>
      </c>
      <c r="L682" s="39" t="n">
        <f aca="false">H682*'Assumptions &amp; Data'!J816</f>
        <v>372393.006187995</v>
      </c>
      <c r="M682" s="39" t="n">
        <f aca="false">I682+J682+K682-L682</f>
        <v>3979590.70085564</v>
      </c>
      <c r="N682" s="39" t="n">
        <f aca="false">E682*'Assumptions &amp; Data'!N816</f>
        <v>1295841.85</v>
      </c>
      <c r="O682" s="39" t="n">
        <f aca="false">E682*'Assumptions &amp; Data'!O816</f>
        <v>359855.1</v>
      </c>
      <c r="P682" s="39" t="n">
        <f aca="false">H682*'Assumptions &amp; Data'!P816</f>
        <v>194790.187852182</v>
      </c>
      <c r="Q682" s="39" t="n">
        <f aca="false">M682-N682-O682-P682</f>
        <v>2129103.56300346</v>
      </c>
      <c r="R682" s="39" t="n">
        <f aca="false">'Assumptions &amp; Data'!L816*'Assumptions &amp; Data'!M816</f>
        <v>669630</v>
      </c>
      <c r="S682" s="37" t="n">
        <f aca="false">'Assumptions &amp; Data'!Q816</f>
        <v>444000</v>
      </c>
      <c r="T682" s="37" t="n">
        <f aca="false">'Assumptions &amp; Data'!R816</f>
        <v>160498</v>
      </c>
      <c r="U682" s="37" t="n">
        <f aca="false">'Assumptions &amp; Data'!S816</f>
        <v>197479</v>
      </c>
      <c r="V682" s="39" t="n">
        <f aca="false">Q682-R682-S682-T682-U682</f>
        <v>657496.563003463</v>
      </c>
      <c r="W682" s="39" t="n">
        <f aca="false">DAY(EOMONTH(C682,0))</f>
        <v>30</v>
      </c>
      <c r="X682" s="40" t="n">
        <f aca="false">E682/W682</f>
        <v>1211.63333333333</v>
      </c>
      <c r="Y682" s="39" t="n">
        <f aca="false">R682+S682+T682+U682</f>
        <v>1471607</v>
      </c>
    </row>
    <row r="683" customFormat="false" ht="15" hidden="false" customHeight="false" outlineLevel="0" collapsed="false">
      <c r="A683" s="37" t="str">
        <f aca="false">'Assumptions &amp; Data'!A817</f>
        <v>SM0613</v>
      </c>
      <c r="B683" s="37" t="str">
        <f aca="false">'Assumptions &amp; Data'!B817</f>
        <v>DS052</v>
      </c>
      <c r="C683" s="38" t="n">
        <f aca="false">'Assumptions &amp; Data'!C817</f>
        <v>45931</v>
      </c>
      <c r="D683" s="39" t="str">
        <f aca="false">INDEX('Assumptions &amp; Data'!$B$142:$B$201,MATCH(B683,'Assumptions &amp; Data'!$A$142:$A$201,0))</f>
        <v>Pune</v>
      </c>
      <c r="E683" s="37" t="n">
        <f aca="false">'Assumptions &amp; Data'!D817</f>
        <v>3990</v>
      </c>
      <c r="F683" s="39" t="n">
        <f aca="false">E683*'Assumptions &amp; Data'!E817</f>
        <v>2627016</v>
      </c>
      <c r="G683" s="39" t="n">
        <f aca="false">F683*'Assumptions &amp; Data'!F817</f>
        <v>228550.392</v>
      </c>
      <c r="H683" s="39" t="n">
        <f aca="false">F683-G683</f>
        <v>2398465.608</v>
      </c>
      <c r="I683" s="39" t="n">
        <f aca="false">H683*'Assumptions &amp; Data'!G817</f>
        <v>395027.2856376</v>
      </c>
      <c r="J683" s="39" t="n">
        <f aca="false">E683*'Assumptions &amp; Data'!H817</f>
        <v>48478.5</v>
      </c>
      <c r="K683" s="39" t="n">
        <f aca="false">H683*'Assumptions &amp; Data'!I817</f>
        <v>39574.682532</v>
      </c>
      <c r="L683" s="39" t="n">
        <f aca="false">H683*'Assumptions &amp; Data'!J817</f>
        <v>86584.6084488</v>
      </c>
      <c r="M683" s="39" t="n">
        <f aca="false">I683+J683+K683-L683</f>
        <v>396495.8597208</v>
      </c>
      <c r="N683" s="39" t="n">
        <f aca="false">E683*'Assumptions &amp; Data'!N817</f>
        <v>195390.3</v>
      </c>
      <c r="O683" s="39" t="n">
        <f aca="false">E683*'Assumptions &amp; Data'!O817</f>
        <v>39540.9</v>
      </c>
      <c r="P683" s="39" t="n">
        <f aca="false">H683*'Assumptions &amp; Data'!P817</f>
        <v>24704.1957624</v>
      </c>
      <c r="Q683" s="39" t="n">
        <f aca="false">M683-N683-O683-P683</f>
        <v>136860.4639584</v>
      </c>
      <c r="R683" s="39" t="n">
        <f aca="false">'Assumptions &amp; Data'!L817*'Assumptions &amp; Data'!M817</f>
        <v>370500</v>
      </c>
      <c r="S683" s="37" t="n">
        <f aca="false">'Assumptions &amp; Data'!Q817</f>
        <v>409500</v>
      </c>
      <c r="T683" s="37" t="n">
        <f aca="false">'Assumptions &amp; Data'!R817</f>
        <v>169038</v>
      </c>
      <c r="U683" s="37" t="n">
        <f aca="false">'Assumptions &amp; Data'!S817</f>
        <v>78397</v>
      </c>
      <c r="V683" s="39" t="n">
        <f aca="false">Q683-R683-S683-T683-U683</f>
        <v>-890574.5360416</v>
      </c>
      <c r="W683" s="39" t="n">
        <f aca="false">DAY(EOMONTH(C683,0))</f>
        <v>31</v>
      </c>
      <c r="X683" s="40" t="n">
        <f aca="false">E683/W683</f>
        <v>128.709677419355</v>
      </c>
      <c r="Y683" s="39" t="n">
        <f aca="false">R683+S683+T683+U683</f>
        <v>1027435</v>
      </c>
    </row>
    <row r="684" customFormat="false" ht="15" hidden="false" customHeight="false" outlineLevel="0" collapsed="false">
      <c r="A684" s="37" t="str">
        <f aca="false">'Assumptions &amp; Data'!A818</f>
        <v>SM0614</v>
      </c>
      <c r="B684" s="37" t="str">
        <f aca="false">'Assumptions &amp; Data'!B818</f>
        <v>DS052</v>
      </c>
      <c r="C684" s="38" t="n">
        <f aca="false">'Assumptions &amp; Data'!C818</f>
        <v>45962</v>
      </c>
      <c r="D684" s="39" t="str">
        <f aca="false">INDEX('Assumptions &amp; Data'!$B$142:$B$201,MATCH(B684,'Assumptions &amp; Data'!$A$142:$A$201,0))</f>
        <v>Pune</v>
      </c>
      <c r="E684" s="37" t="n">
        <f aca="false">'Assumptions &amp; Data'!D818</f>
        <v>3995</v>
      </c>
      <c r="F684" s="39" t="n">
        <f aca="false">E684*'Assumptions &amp; Data'!E818</f>
        <v>2685838.5</v>
      </c>
      <c r="G684" s="39" t="n">
        <f aca="false">F684*'Assumptions &amp; Data'!F818</f>
        <v>239845.37805</v>
      </c>
      <c r="H684" s="39" t="n">
        <f aca="false">F684-G684</f>
        <v>2445993.12195</v>
      </c>
      <c r="I684" s="39" t="n">
        <f aca="false">H684*'Assumptions &amp; Data'!G818</f>
        <v>405056.46099492</v>
      </c>
      <c r="J684" s="39" t="n">
        <f aca="false">E684*'Assumptions &amp; Data'!H818</f>
        <v>51775.2</v>
      </c>
      <c r="K684" s="39" t="n">
        <f aca="false">H684*'Assumptions &amp; Data'!I818</f>
        <v>41092.68444876</v>
      </c>
      <c r="L684" s="39" t="n">
        <f aca="false">H684*'Assumptions &amp; Data'!J818</f>
        <v>91724.742073125</v>
      </c>
      <c r="M684" s="39" t="n">
        <f aca="false">I684+J684+K684-L684</f>
        <v>406199.603370555</v>
      </c>
      <c r="N684" s="39" t="n">
        <f aca="false">E684*'Assumptions &amp; Data'!N818</f>
        <v>192039.65</v>
      </c>
      <c r="O684" s="39" t="n">
        <f aca="false">E684*'Assumptions &amp; Data'!O818</f>
        <v>39950</v>
      </c>
      <c r="P684" s="39" t="n">
        <f aca="false">H684*'Assumptions &amp; Data'!P818</f>
        <v>24704.530531695</v>
      </c>
      <c r="Q684" s="39" t="n">
        <f aca="false">M684-N684-O684-P684</f>
        <v>149505.42283886</v>
      </c>
      <c r="R684" s="39" t="n">
        <f aca="false">'Assumptions &amp; Data'!L818*'Assumptions &amp; Data'!M818</f>
        <v>351324</v>
      </c>
      <c r="S684" s="37" t="n">
        <f aca="false">'Assumptions &amp; Data'!Q818</f>
        <v>409500</v>
      </c>
      <c r="T684" s="37" t="n">
        <f aca="false">'Assumptions &amp; Data'!R818</f>
        <v>179734</v>
      </c>
      <c r="U684" s="37" t="n">
        <f aca="false">'Assumptions &amp; Data'!S818</f>
        <v>81595</v>
      </c>
      <c r="V684" s="39" t="n">
        <f aca="false">Q684-R684-S684-T684-U684</f>
        <v>-872647.57716114</v>
      </c>
      <c r="W684" s="39" t="n">
        <f aca="false">DAY(EOMONTH(C684,0))</f>
        <v>30</v>
      </c>
      <c r="X684" s="40" t="n">
        <f aca="false">E684/W684</f>
        <v>133.166666666667</v>
      </c>
      <c r="Y684" s="39" t="n">
        <f aca="false">R684+S684+T684+U684</f>
        <v>1022153</v>
      </c>
    </row>
    <row r="685" customFormat="false" ht="15" hidden="false" customHeight="false" outlineLevel="0" collapsed="false">
      <c r="A685" s="37" t="str">
        <f aca="false">'Assumptions &amp; Data'!A819</f>
        <v>SM0615</v>
      </c>
      <c r="B685" s="37" t="str">
        <f aca="false">'Assumptions &amp; Data'!B819</f>
        <v>DS052</v>
      </c>
      <c r="C685" s="38" t="n">
        <f aca="false">'Assumptions &amp; Data'!C819</f>
        <v>45992</v>
      </c>
      <c r="D685" s="39" t="str">
        <f aca="false">INDEX('Assumptions &amp; Data'!$B$142:$B$201,MATCH(B685,'Assumptions &amp; Data'!$A$142:$A$201,0))</f>
        <v>Pune</v>
      </c>
      <c r="E685" s="37" t="n">
        <f aca="false">'Assumptions &amp; Data'!D819</f>
        <v>4183</v>
      </c>
      <c r="F685" s="39" t="n">
        <f aca="false">E685*'Assumptions &amp; Data'!E819</f>
        <v>2711002.3</v>
      </c>
      <c r="G685" s="39" t="n">
        <f aca="false">F685*'Assumptions &amp; Data'!F819</f>
        <v>235857.2001</v>
      </c>
      <c r="H685" s="39" t="n">
        <f aca="false">F685-G685</f>
        <v>2475145.0999</v>
      </c>
      <c r="I685" s="39" t="n">
        <f aca="false">H685*'Assumptions &amp; Data'!G819</f>
        <v>412111.65913335</v>
      </c>
      <c r="J685" s="39" t="n">
        <f aca="false">E685*'Assumptions &amp; Data'!H819</f>
        <v>54839.13</v>
      </c>
      <c r="K685" s="39" t="n">
        <f aca="false">H685*'Assumptions &amp; Data'!I819</f>
        <v>45047.64081818</v>
      </c>
      <c r="L685" s="39" t="n">
        <f aca="false">H685*'Assumptions &amp; Data'!J819</f>
        <v>94055.5137962</v>
      </c>
      <c r="M685" s="39" t="n">
        <f aca="false">I685+J685+K685-L685</f>
        <v>417942.91615533</v>
      </c>
      <c r="N685" s="39" t="n">
        <f aca="false">E685*'Assumptions &amp; Data'!N819</f>
        <v>203502.95</v>
      </c>
      <c r="O685" s="39" t="n">
        <f aca="false">E685*'Assumptions &amp; Data'!O819</f>
        <v>41704.51</v>
      </c>
      <c r="P685" s="39" t="n">
        <f aca="false">H685*'Assumptions &amp; Data'!P819</f>
        <v>26731.56707892</v>
      </c>
      <c r="Q685" s="39" t="n">
        <f aca="false">M685-N685-O685-P685</f>
        <v>146003.88907641</v>
      </c>
      <c r="R685" s="39" t="n">
        <f aca="false">'Assumptions &amp; Data'!L819*'Assumptions &amp; Data'!M819</f>
        <v>371165</v>
      </c>
      <c r="S685" s="37" t="n">
        <f aca="false">'Assumptions &amp; Data'!Q819</f>
        <v>409500</v>
      </c>
      <c r="T685" s="37" t="n">
        <f aca="false">'Assumptions &amp; Data'!R819</f>
        <v>166855</v>
      </c>
      <c r="U685" s="37" t="n">
        <f aca="false">'Assumptions &amp; Data'!S819</f>
        <v>86231</v>
      </c>
      <c r="V685" s="39" t="n">
        <f aca="false">Q685-R685-S685-T685-U685</f>
        <v>-887747.11092359</v>
      </c>
      <c r="W685" s="39" t="n">
        <f aca="false">DAY(EOMONTH(C685,0))</f>
        <v>31</v>
      </c>
      <c r="X685" s="40" t="n">
        <f aca="false">E685/W685</f>
        <v>134.935483870968</v>
      </c>
      <c r="Y685" s="39" t="n">
        <f aca="false">R685+S685+T685+U685</f>
        <v>1033751</v>
      </c>
    </row>
    <row r="686" customFormat="false" ht="15" hidden="false" customHeight="false" outlineLevel="0" collapsed="false">
      <c r="A686" s="37" t="str">
        <f aca="false">'Assumptions &amp; Data'!A820</f>
        <v>SM0616</v>
      </c>
      <c r="B686" s="37" t="str">
        <f aca="false">'Assumptions &amp; Data'!B820</f>
        <v>DS052</v>
      </c>
      <c r="C686" s="38" t="n">
        <f aca="false">'Assumptions &amp; Data'!C820</f>
        <v>46023</v>
      </c>
      <c r="D686" s="39" t="str">
        <f aca="false">INDEX('Assumptions &amp; Data'!$B$142:$B$201,MATCH(B686,'Assumptions &amp; Data'!$A$142:$A$201,0))</f>
        <v>Pune</v>
      </c>
      <c r="E686" s="37" t="n">
        <f aca="false">'Assumptions &amp; Data'!D820</f>
        <v>3968</v>
      </c>
      <c r="F686" s="39" t="n">
        <f aca="false">E686*'Assumptions &amp; Data'!E820</f>
        <v>2619673.6</v>
      </c>
      <c r="G686" s="39" t="n">
        <f aca="false">F686*'Assumptions &amp; Data'!F820</f>
        <v>232103.08096</v>
      </c>
      <c r="H686" s="39" t="n">
        <f aca="false">F686-G686</f>
        <v>2387570.51904</v>
      </c>
      <c r="I686" s="39" t="n">
        <f aca="false">H686*'Assumptions &amp; Data'!G820</f>
        <v>393471.621537792</v>
      </c>
      <c r="J686" s="39" t="n">
        <f aca="false">E686*'Assumptions &amp; Data'!H820</f>
        <v>52734.72</v>
      </c>
      <c r="K686" s="39" t="n">
        <f aca="false">H686*'Assumptions &amp; Data'!I820</f>
        <v>45125.082809856</v>
      </c>
      <c r="L686" s="39" t="n">
        <f aca="false">H686*'Assumptions &amp; Data'!J820</f>
        <v>91205.193827328</v>
      </c>
      <c r="M686" s="39" t="n">
        <f aca="false">I686+J686+K686-L686</f>
        <v>400126.23052032</v>
      </c>
      <c r="N686" s="39" t="n">
        <f aca="false">E686*'Assumptions &amp; Data'!N820</f>
        <v>191813.12</v>
      </c>
      <c r="O686" s="39" t="n">
        <f aca="false">E686*'Assumptions &amp; Data'!O820</f>
        <v>38688</v>
      </c>
      <c r="P686" s="39" t="n">
        <f aca="false">H686*'Assumptions &amp; Data'!P820</f>
        <v>24591.976346112</v>
      </c>
      <c r="Q686" s="39" t="n">
        <f aca="false">M686-N686-O686-P686</f>
        <v>145033.134174208</v>
      </c>
      <c r="R686" s="39" t="n">
        <f aca="false">'Assumptions &amp; Data'!L820*'Assumptions &amp; Data'!M820</f>
        <v>371507</v>
      </c>
      <c r="S686" s="37" t="n">
        <f aca="false">'Assumptions &amp; Data'!Q820</f>
        <v>409500</v>
      </c>
      <c r="T686" s="37" t="n">
        <f aca="false">'Assumptions &amp; Data'!R820</f>
        <v>175962</v>
      </c>
      <c r="U686" s="37" t="n">
        <f aca="false">'Assumptions &amp; Data'!S820</f>
        <v>81242</v>
      </c>
      <c r="V686" s="39" t="n">
        <f aca="false">Q686-R686-S686-T686-U686</f>
        <v>-893177.865825792</v>
      </c>
      <c r="W686" s="39" t="n">
        <f aca="false">DAY(EOMONTH(C686,0))</f>
        <v>31</v>
      </c>
      <c r="X686" s="40" t="n">
        <f aca="false">E686/W686</f>
        <v>128</v>
      </c>
      <c r="Y686" s="39" t="n">
        <f aca="false">R686+S686+T686+U686</f>
        <v>1038211</v>
      </c>
    </row>
    <row r="687" customFormat="false" ht="15" hidden="false" customHeight="false" outlineLevel="0" collapsed="false">
      <c r="A687" s="37" t="str">
        <f aca="false">'Assumptions &amp; Data'!A821</f>
        <v>SM0617</v>
      </c>
      <c r="B687" s="37" t="str">
        <f aca="false">'Assumptions &amp; Data'!B821</f>
        <v>DS052</v>
      </c>
      <c r="C687" s="38" t="n">
        <f aca="false">'Assumptions &amp; Data'!C821</f>
        <v>46054</v>
      </c>
      <c r="D687" s="39" t="str">
        <f aca="false">INDEX('Assumptions &amp; Data'!$B$142:$B$201,MATCH(B687,'Assumptions &amp; Data'!$A$142:$A$201,0))</f>
        <v>Pune</v>
      </c>
      <c r="E687" s="37" t="n">
        <f aca="false">'Assumptions &amp; Data'!D821</f>
        <v>3378</v>
      </c>
      <c r="F687" s="39" t="n">
        <f aca="false">E687*'Assumptions &amp; Data'!E821</f>
        <v>2244343.2</v>
      </c>
      <c r="G687" s="39" t="n">
        <f aca="false">F687*'Assumptions &amp; Data'!F821</f>
        <v>196604.46432</v>
      </c>
      <c r="H687" s="39" t="n">
        <f aca="false">F687-G687</f>
        <v>2047738.73568</v>
      </c>
      <c r="I687" s="39" t="n">
        <f aca="false">H687*'Assumptions &amp; Data'!G821</f>
        <v>338081.665260768</v>
      </c>
      <c r="J687" s="39" t="n">
        <f aca="false">E687*'Assumptions &amp; Data'!H821</f>
        <v>43677.54</v>
      </c>
      <c r="K687" s="39" t="n">
        <f aca="false">H687*'Assumptions &amp; Data'!I821</f>
        <v>38292.714357216</v>
      </c>
      <c r="L687" s="39" t="n">
        <f aca="false">H687*'Assumptions &amp; Data'!J821</f>
        <v>76994.976461568</v>
      </c>
      <c r="M687" s="39" t="n">
        <f aca="false">I687+J687+K687-L687</f>
        <v>343056.943156416</v>
      </c>
      <c r="N687" s="39" t="n">
        <f aca="false">E687*'Assumptions &amp; Data'!N821</f>
        <v>165994.92</v>
      </c>
      <c r="O687" s="39" t="n">
        <f aca="false">E687*'Assumptions &amp; Data'!O821</f>
        <v>31651.86</v>
      </c>
      <c r="P687" s="39" t="n">
        <f aca="false">H687*'Assumptions &amp; Data'!P821</f>
        <v>19658.291862528</v>
      </c>
      <c r="Q687" s="39" t="n">
        <f aca="false">M687-N687-O687-P687</f>
        <v>125751.871293888</v>
      </c>
      <c r="R687" s="39" t="n">
        <f aca="false">'Assumptions &amp; Data'!L821*'Assumptions &amp; Data'!M821</f>
        <v>371849</v>
      </c>
      <c r="S687" s="37" t="n">
        <f aca="false">'Assumptions &amp; Data'!Q821</f>
        <v>409500</v>
      </c>
      <c r="T687" s="37" t="n">
        <f aca="false">'Assumptions &amp; Data'!R821</f>
        <v>180007</v>
      </c>
      <c r="U687" s="37" t="n">
        <f aca="false">'Assumptions &amp; Data'!S821</f>
        <v>68472</v>
      </c>
      <c r="V687" s="39" t="n">
        <f aca="false">Q687-R687-S687-T687-U687</f>
        <v>-904076.128706112</v>
      </c>
      <c r="W687" s="39" t="n">
        <f aca="false">DAY(EOMONTH(C687,0))</f>
        <v>28</v>
      </c>
      <c r="X687" s="40" t="n">
        <f aca="false">E687/W687</f>
        <v>120.642857142857</v>
      </c>
      <c r="Y687" s="39" t="n">
        <f aca="false">R687+S687+T687+U687</f>
        <v>1029828</v>
      </c>
    </row>
    <row r="688" customFormat="false" ht="15" hidden="false" customHeight="false" outlineLevel="0" collapsed="false">
      <c r="A688" s="37" t="str">
        <f aca="false">'Assumptions &amp; Data'!A822</f>
        <v>SM0618</v>
      </c>
      <c r="B688" s="37" t="str">
        <f aca="false">'Assumptions &amp; Data'!B822</f>
        <v>DS052</v>
      </c>
      <c r="C688" s="38" t="n">
        <f aca="false">'Assumptions &amp; Data'!C822</f>
        <v>46082</v>
      </c>
      <c r="D688" s="39" t="str">
        <f aca="false">INDEX('Assumptions &amp; Data'!$B$142:$B$201,MATCH(B688,'Assumptions &amp; Data'!$A$142:$A$201,0))</f>
        <v>Pune</v>
      </c>
      <c r="E688" s="37" t="n">
        <f aca="false">'Assumptions &amp; Data'!D822</f>
        <v>4077</v>
      </c>
      <c r="F688" s="39" t="n">
        <f aca="false">E688*'Assumptions &amp; Data'!E822</f>
        <v>2685519.9</v>
      </c>
      <c r="G688" s="39" t="n">
        <f aca="false">F688*'Assumptions &amp; Data'!F822</f>
        <v>244650.86289</v>
      </c>
      <c r="H688" s="39" t="n">
        <f aca="false">F688-G688</f>
        <v>2440869.03711</v>
      </c>
      <c r="I688" s="39" t="n">
        <f aca="false">H688*'Assumptions &amp; Data'!G822</f>
        <v>409577.824427058</v>
      </c>
      <c r="J688" s="39" t="n">
        <f aca="false">E688*'Assumptions &amp; Data'!H822</f>
        <v>48271.68</v>
      </c>
      <c r="K688" s="39" t="n">
        <f aca="false">H688*'Assumptions &amp; Data'!I822</f>
        <v>46620.598608801</v>
      </c>
      <c r="L688" s="39" t="n">
        <f aca="false">H688*'Assumptions &amp; Data'!J822</f>
        <v>91776.675795336</v>
      </c>
      <c r="M688" s="39" t="n">
        <f aca="false">I688+J688+K688-L688</f>
        <v>412693.427240523</v>
      </c>
      <c r="N688" s="39" t="n">
        <f aca="false">E688*'Assumptions &amp; Data'!N822</f>
        <v>198182.97</v>
      </c>
      <c r="O688" s="39" t="n">
        <f aca="false">E688*'Assumptions &amp; Data'!O822</f>
        <v>40199.22</v>
      </c>
      <c r="P688" s="39" t="n">
        <f aca="false">H688*'Assumptions &amp; Data'!P822</f>
        <v>23676.429659967</v>
      </c>
      <c r="Q688" s="39" t="n">
        <f aca="false">M688-N688-O688-P688</f>
        <v>150634.807580556</v>
      </c>
      <c r="R688" s="39" t="n">
        <f aca="false">'Assumptions &amp; Data'!L822*'Assumptions &amp; Data'!M822</f>
        <v>411369</v>
      </c>
      <c r="S688" s="37" t="n">
        <f aca="false">'Assumptions &amp; Data'!Q822</f>
        <v>409500</v>
      </c>
      <c r="T688" s="37" t="n">
        <f aca="false">'Assumptions &amp; Data'!R822</f>
        <v>181157</v>
      </c>
      <c r="U688" s="37" t="n">
        <f aca="false">'Assumptions &amp; Data'!S822</f>
        <v>81221</v>
      </c>
      <c r="V688" s="39" t="n">
        <f aca="false">Q688-R688-S688-T688-U688</f>
        <v>-932612.192419444</v>
      </c>
      <c r="W688" s="39" t="n">
        <f aca="false">DAY(EOMONTH(C688,0))</f>
        <v>31</v>
      </c>
      <c r="X688" s="40" t="n">
        <f aca="false">E688/W688</f>
        <v>131.516129032258</v>
      </c>
      <c r="Y688" s="39" t="n">
        <f aca="false">R688+S688+T688+U688</f>
        <v>1083247</v>
      </c>
    </row>
    <row r="689" customFormat="false" ht="15" hidden="false" customHeight="false" outlineLevel="0" collapsed="false">
      <c r="A689" s="37" t="str">
        <f aca="false">'Assumptions &amp; Data'!A823</f>
        <v>SM0619</v>
      </c>
      <c r="B689" s="37" t="str">
        <f aca="false">'Assumptions &amp; Data'!B823</f>
        <v>DS052</v>
      </c>
      <c r="C689" s="38" t="n">
        <f aca="false">'Assumptions &amp; Data'!C823</f>
        <v>46113</v>
      </c>
      <c r="D689" s="39" t="str">
        <f aca="false">INDEX('Assumptions &amp; Data'!$B$142:$B$201,MATCH(B689,'Assumptions &amp; Data'!$A$142:$A$201,0))</f>
        <v>Pune</v>
      </c>
      <c r="E689" s="37" t="n">
        <f aca="false">'Assumptions &amp; Data'!D823</f>
        <v>7836</v>
      </c>
      <c r="F689" s="39" t="n">
        <f aca="false">E689*'Assumptions &amp; Data'!E823</f>
        <v>5150602.8</v>
      </c>
      <c r="G689" s="39" t="n">
        <f aca="false">F689*'Assumptions &amp; Data'!F823</f>
        <v>444497.02164</v>
      </c>
      <c r="H689" s="39" t="n">
        <f aca="false">F689-G689</f>
        <v>4706105.77836</v>
      </c>
      <c r="I689" s="39" t="n">
        <f aca="false">H689*'Assumptions &amp; Data'!G823</f>
        <v>781213.55920776</v>
      </c>
      <c r="J689" s="39" t="n">
        <f aca="false">E689*'Assumptions &amp; Data'!H823</f>
        <v>98420.16</v>
      </c>
      <c r="K689" s="39" t="n">
        <f aca="false">H689*'Assumptions &amp; Data'!I823</f>
        <v>86592.346321824</v>
      </c>
      <c r="L689" s="39" t="n">
        <f aca="false">H689*'Assumptions &amp; Data'!J823</f>
        <v>169890.418598796</v>
      </c>
      <c r="M689" s="39" t="n">
        <f aca="false">I689+J689+K689-L689</f>
        <v>796335.646930788</v>
      </c>
      <c r="N689" s="39" t="n">
        <f aca="false">E689*'Assumptions &amp; Data'!N823</f>
        <v>363512.04</v>
      </c>
      <c r="O689" s="39" t="n">
        <f aca="false">E689*'Assumptions &amp; Data'!O823</f>
        <v>76871.16</v>
      </c>
      <c r="P689" s="39" t="n">
        <f aca="false">H689*'Assumptions &amp; Data'!P823</f>
        <v>44708.00489442</v>
      </c>
      <c r="Q689" s="39" t="n">
        <f aca="false">M689-N689-O689-P689</f>
        <v>311244.442036368</v>
      </c>
      <c r="R689" s="39" t="n">
        <f aca="false">'Assumptions &amp; Data'!L823*'Assumptions &amp; Data'!M823</f>
        <v>372514</v>
      </c>
      <c r="S689" s="37" t="n">
        <f aca="false">'Assumptions &amp; Data'!Q823</f>
        <v>409500</v>
      </c>
      <c r="T689" s="37" t="n">
        <f aca="false">'Assumptions &amp; Data'!R823</f>
        <v>171572</v>
      </c>
      <c r="U689" s="37" t="n">
        <f aca="false">'Assumptions &amp; Data'!S823</f>
        <v>144765</v>
      </c>
      <c r="V689" s="39" t="n">
        <f aca="false">Q689-R689-S689-T689-U689</f>
        <v>-787106.557963632</v>
      </c>
      <c r="W689" s="39" t="n">
        <f aca="false">DAY(EOMONTH(C689,0))</f>
        <v>30</v>
      </c>
      <c r="X689" s="40" t="n">
        <f aca="false">E689/W689</f>
        <v>261.2</v>
      </c>
      <c r="Y689" s="39" t="n">
        <f aca="false">R689+S689+T689+U689</f>
        <v>1098351</v>
      </c>
    </row>
    <row r="690" customFormat="false" ht="15" hidden="false" customHeight="false" outlineLevel="0" collapsed="false">
      <c r="A690" s="37" t="str">
        <f aca="false">'Assumptions &amp; Data'!A824</f>
        <v>SM0620</v>
      </c>
      <c r="B690" s="37" t="str">
        <f aca="false">'Assumptions &amp; Data'!B824</f>
        <v>DS052</v>
      </c>
      <c r="C690" s="38" t="n">
        <f aca="false">'Assumptions &amp; Data'!C824</f>
        <v>46143</v>
      </c>
      <c r="D690" s="39" t="str">
        <f aca="false">INDEX('Assumptions &amp; Data'!$B$142:$B$201,MATCH(B690,'Assumptions &amp; Data'!$A$142:$A$201,0))</f>
        <v>Pune</v>
      </c>
      <c r="E690" s="37" t="n">
        <f aca="false">'Assumptions &amp; Data'!D824</f>
        <v>11611</v>
      </c>
      <c r="F690" s="39" t="n">
        <f aca="false">E690*'Assumptions &amp; Data'!E824</f>
        <v>7541344.5</v>
      </c>
      <c r="G690" s="39" t="n">
        <f aca="false">F690*'Assumptions &amp; Data'!F824</f>
        <v>595766.2155</v>
      </c>
      <c r="H690" s="39" t="n">
        <f aca="false">F690-G690</f>
        <v>6945578.2845</v>
      </c>
      <c r="I690" s="39" t="n">
        <f aca="false">H690*'Assumptions &amp; Data'!G824</f>
        <v>1146020.4169425</v>
      </c>
      <c r="J690" s="39" t="n">
        <f aca="false">E690*'Assumptions &amp; Data'!H824</f>
        <v>147924.14</v>
      </c>
      <c r="K690" s="39" t="n">
        <f aca="false">H690*'Assumptions &amp; Data'!I824</f>
        <v>141689.7970038</v>
      </c>
      <c r="L690" s="39" t="n">
        <f aca="false">H690*'Assumptions &amp; Data'!J824</f>
        <v>223647.6207609</v>
      </c>
      <c r="M690" s="39" t="n">
        <f aca="false">I690+J690+K690-L690</f>
        <v>1211986.7331854</v>
      </c>
      <c r="N690" s="39" t="n">
        <f aca="false">E690*'Assumptions &amp; Data'!N824</f>
        <v>527023.29</v>
      </c>
      <c r="O690" s="39" t="n">
        <f aca="false">E690*'Assumptions &amp; Data'!O824</f>
        <v>112162.26</v>
      </c>
      <c r="P690" s="39" t="n">
        <f aca="false">H690*'Assumptions &amp; Data'!P824</f>
        <v>67372.10935965</v>
      </c>
      <c r="Q690" s="39" t="n">
        <f aca="false">M690-N690-O690-P690</f>
        <v>505429.07382575</v>
      </c>
      <c r="R690" s="39" t="n">
        <f aca="false">'Assumptions &amp; Data'!L824*'Assumptions &amp; Data'!M824</f>
        <v>372856</v>
      </c>
      <c r="S690" s="37" t="n">
        <f aca="false">'Assumptions &amp; Data'!Q824</f>
        <v>409500</v>
      </c>
      <c r="T690" s="37" t="n">
        <f aca="false">'Assumptions &amp; Data'!R824</f>
        <v>180929</v>
      </c>
      <c r="U690" s="37" t="n">
        <f aca="false">'Assumptions &amp; Data'!S824</f>
        <v>193872</v>
      </c>
      <c r="V690" s="39" t="n">
        <f aca="false">Q690-R690-S690-T690-U690</f>
        <v>-651727.92617425</v>
      </c>
      <c r="W690" s="39" t="n">
        <f aca="false">DAY(EOMONTH(C690,0))</f>
        <v>31</v>
      </c>
      <c r="X690" s="40" t="n">
        <f aca="false">E690/W690</f>
        <v>374.548387096774</v>
      </c>
      <c r="Y690" s="39" t="n">
        <f aca="false">R690+S690+T690+U690</f>
        <v>1157157</v>
      </c>
    </row>
    <row r="691" customFormat="false" ht="15" hidden="false" customHeight="false" outlineLevel="0" collapsed="false">
      <c r="A691" s="37" t="str">
        <f aca="false">'Assumptions &amp; Data'!A825</f>
        <v>SM0621</v>
      </c>
      <c r="B691" s="37" t="str">
        <f aca="false">'Assumptions &amp; Data'!B825</f>
        <v>DS052</v>
      </c>
      <c r="C691" s="38" t="n">
        <f aca="false">'Assumptions &amp; Data'!C825</f>
        <v>46174</v>
      </c>
      <c r="D691" s="39" t="str">
        <f aca="false">INDEX('Assumptions &amp; Data'!$B$142:$B$201,MATCH(B691,'Assumptions &amp; Data'!$A$142:$A$201,0))</f>
        <v>Pune</v>
      </c>
      <c r="E691" s="37" t="n">
        <f aca="false">'Assumptions &amp; Data'!D825</f>
        <v>14104</v>
      </c>
      <c r="F691" s="39" t="n">
        <f aca="false">E691*'Assumptions &amp; Data'!E825</f>
        <v>9768430.4</v>
      </c>
      <c r="G691" s="39" t="n">
        <f aca="false">F691*'Assumptions &amp; Data'!F825</f>
        <v>724817.53568</v>
      </c>
      <c r="H691" s="39" t="n">
        <f aca="false">F691-G691</f>
        <v>9043612.86432</v>
      </c>
      <c r="I691" s="39" t="n">
        <f aca="false">H691*'Assumptions &amp; Data'!G825</f>
        <v>1488578.67746707</v>
      </c>
      <c r="J691" s="39" t="n">
        <f aca="false">E691*'Assumptions &amp; Data'!H825</f>
        <v>178274.56</v>
      </c>
      <c r="K691" s="39" t="n">
        <f aca="false">H691*'Assumptions &amp; Data'!I825</f>
        <v>197150.760442176</v>
      </c>
      <c r="L691" s="39" t="n">
        <f aca="false">H691*'Assumptions &amp; Data'!J825</f>
        <v>276734.553648192</v>
      </c>
      <c r="M691" s="39" t="n">
        <f aca="false">I691+J691+K691-L691</f>
        <v>1587269.44426106</v>
      </c>
      <c r="N691" s="39" t="n">
        <f aca="false">E691*'Assumptions &amp; Data'!N825</f>
        <v>627063.84</v>
      </c>
      <c r="O691" s="39" t="n">
        <f aca="false">E691*'Assumptions &amp; Data'!O825</f>
        <v>140898.96</v>
      </c>
      <c r="P691" s="39" t="n">
        <f aca="false">H691*'Assumptions &amp; Data'!P825</f>
        <v>89531.767356768</v>
      </c>
      <c r="Q691" s="39" t="n">
        <f aca="false">M691-N691-O691-P691</f>
        <v>729774.876904288</v>
      </c>
      <c r="R691" s="39" t="n">
        <f aca="false">'Assumptions &amp; Data'!L825*'Assumptions &amp; Data'!M825</f>
        <v>373198</v>
      </c>
      <c r="S691" s="37" t="n">
        <f aca="false">'Assumptions &amp; Data'!Q825</f>
        <v>409500</v>
      </c>
      <c r="T691" s="37" t="n">
        <f aca="false">'Assumptions &amp; Data'!R825</f>
        <v>185186</v>
      </c>
      <c r="U691" s="37" t="n">
        <f aca="false">'Assumptions &amp; Data'!S825</f>
        <v>225317</v>
      </c>
      <c r="V691" s="39" t="n">
        <f aca="false">Q691-R691-S691-T691-U691</f>
        <v>-463426.123095712</v>
      </c>
      <c r="W691" s="39" t="n">
        <f aca="false">DAY(EOMONTH(C691,0))</f>
        <v>30</v>
      </c>
      <c r="X691" s="40" t="n">
        <f aca="false">E691/W691</f>
        <v>470.133333333333</v>
      </c>
      <c r="Y691" s="39" t="n">
        <f aca="false">R691+S691+T691+U691</f>
        <v>1193201</v>
      </c>
    </row>
    <row r="692" customFormat="false" ht="15" hidden="false" customHeight="false" outlineLevel="0" collapsed="false">
      <c r="A692" s="37" t="str">
        <f aca="false">'Assumptions &amp; Data'!A826</f>
        <v>SM0622</v>
      </c>
      <c r="B692" s="37" t="str">
        <f aca="false">'Assumptions &amp; Data'!B826</f>
        <v>DS052</v>
      </c>
      <c r="C692" s="38" t="n">
        <f aca="false">'Assumptions &amp; Data'!C826</f>
        <v>46204</v>
      </c>
      <c r="D692" s="39" t="str">
        <f aca="false">INDEX('Assumptions &amp; Data'!$B$142:$B$201,MATCH(B692,'Assumptions &amp; Data'!$A$142:$A$201,0))</f>
        <v>Pune</v>
      </c>
      <c r="E692" s="37" t="n">
        <f aca="false">'Assumptions &amp; Data'!D826</f>
        <v>15208</v>
      </c>
      <c r="F692" s="39" t="n">
        <f aca="false">E692*'Assumptions &amp; Data'!E826</f>
        <v>9804597.6</v>
      </c>
      <c r="G692" s="39" t="n">
        <f aca="false">F692*'Assumptions &amp; Data'!F826</f>
        <v>733383.90048</v>
      </c>
      <c r="H692" s="39" t="n">
        <f aca="false">F692-G692</f>
        <v>9071213.69952</v>
      </c>
      <c r="I692" s="39" t="n">
        <f aca="false">H692*'Assumptions &amp; Data'!G826</f>
        <v>1506728.59549027</v>
      </c>
      <c r="J692" s="39" t="n">
        <f aca="false">E692*'Assumptions &amp; Data'!H826</f>
        <v>184168.88</v>
      </c>
      <c r="K692" s="39" t="n">
        <f aca="false">H692*'Assumptions &amp; Data'!I826</f>
        <v>196845.337279584</v>
      </c>
      <c r="L692" s="39" t="n">
        <f aca="false">H692*'Assumptions &amp; Data'!J826</f>
        <v>266693.682765888</v>
      </c>
      <c r="M692" s="39" t="n">
        <f aca="false">I692+J692+K692-L692</f>
        <v>1621049.13000397</v>
      </c>
      <c r="N692" s="39" t="n">
        <f aca="false">E692*'Assumptions &amp; Data'!N826</f>
        <v>674626.88</v>
      </c>
      <c r="O692" s="39" t="n">
        <f aca="false">E692*'Assumptions &amp; Data'!O826</f>
        <v>156794.48</v>
      </c>
      <c r="P692" s="39" t="n">
        <f aca="false">H692*'Assumptions &amp; Data'!P826</f>
        <v>96154.865214912</v>
      </c>
      <c r="Q692" s="39" t="n">
        <f aca="false">M692-N692-O692-P692</f>
        <v>693472.904789056</v>
      </c>
      <c r="R692" s="39" t="n">
        <f aca="false">'Assumptions &amp; Data'!L826*'Assumptions &amp; Data'!M826</f>
        <v>373540</v>
      </c>
      <c r="S692" s="37" t="n">
        <f aca="false">'Assumptions &amp; Data'!Q826</f>
        <v>409500</v>
      </c>
      <c r="T692" s="37" t="n">
        <f aca="false">'Assumptions &amp; Data'!R826</f>
        <v>175002</v>
      </c>
      <c r="U692" s="37" t="n">
        <f aca="false">'Assumptions &amp; Data'!S826</f>
        <v>208436</v>
      </c>
      <c r="V692" s="39" t="n">
        <f aca="false">Q692-R692-S692-T692-U692</f>
        <v>-473005.095210944</v>
      </c>
      <c r="W692" s="39" t="n">
        <f aca="false">DAY(EOMONTH(C692,0))</f>
        <v>31</v>
      </c>
      <c r="X692" s="40" t="n">
        <f aca="false">E692/W692</f>
        <v>490.58064516129</v>
      </c>
      <c r="Y692" s="39" t="n">
        <f aca="false">R692+S692+T692+U692</f>
        <v>1166478</v>
      </c>
    </row>
    <row r="693" customFormat="false" ht="15" hidden="false" customHeight="false" outlineLevel="0" collapsed="false">
      <c r="A693" s="37" t="str">
        <f aca="false">'Assumptions &amp; Data'!A827</f>
        <v>SM0623</v>
      </c>
      <c r="B693" s="37" t="str">
        <f aca="false">'Assumptions &amp; Data'!B827</f>
        <v>DS052</v>
      </c>
      <c r="C693" s="38" t="n">
        <f aca="false">'Assumptions &amp; Data'!C827</f>
        <v>46235</v>
      </c>
      <c r="D693" s="39" t="str">
        <f aca="false">INDEX('Assumptions &amp; Data'!$B$142:$B$201,MATCH(B693,'Assumptions &amp; Data'!$A$142:$A$201,0))</f>
        <v>Pune</v>
      </c>
      <c r="E693" s="37" t="n">
        <f aca="false">'Assumptions &amp; Data'!D827</f>
        <v>19728</v>
      </c>
      <c r="F693" s="39" t="n">
        <f aca="false">E693*'Assumptions &amp; Data'!E827</f>
        <v>12846873.6</v>
      </c>
      <c r="G693" s="39" t="n">
        <f aca="false">F693*'Assumptions &amp; Data'!F827</f>
        <v>883864.90368</v>
      </c>
      <c r="H693" s="39" t="n">
        <f aca="false">F693-G693</f>
        <v>11963008.69632</v>
      </c>
      <c r="I693" s="39" t="n">
        <f aca="false">H693*'Assumptions &amp; Data'!G827</f>
        <v>1935614.80706458</v>
      </c>
      <c r="J693" s="39" t="n">
        <f aca="false">E693*'Assumptions &amp; Data'!H827</f>
        <v>247586.4</v>
      </c>
      <c r="K693" s="39" t="n">
        <f aca="false">H693*'Assumptions &amp; Data'!I827</f>
        <v>287112.20871168</v>
      </c>
      <c r="L693" s="39" t="n">
        <f aca="false">H693*'Assumptions &amp; Data'!J827</f>
        <v>338553.146105856</v>
      </c>
      <c r="M693" s="39" t="n">
        <f aca="false">I693+J693+K693-L693</f>
        <v>2131760.2696704</v>
      </c>
      <c r="N693" s="39" t="n">
        <f aca="false">E693*'Assumptions &amp; Data'!N827</f>
        <v>851460.48</v>
      </c>
      <c r="O693" s="39" t="n">
        <f aca="false">E693*'Assumptions &amp; Data'!O827</f>
        <v>187810.56</v>
      </c>
      <c r="P693" s="39" t="n">
        <f aca="false">H693*'Assumptions &amp; Data'!P827</f>
        <v>120826.387832832</v>
      </c>
      <c r="Q693" s="39" t="n">
        <f aca="false">M693-N693-O693-P693</f>
        <v>971662.841837568</v>
      </c>
      <c r="R693" s="39" t="n">
        <f aca="false">'Assumptions &amp; Data'!L827*'Assumptions &amp; Data'!M827</f>
        <v>432894</v>
      </c>
      <c r="S693" s="37" t="n">
        <f aca="false">'Assumptions &amp; Data'!Q827</f>
        <v>409500</v>
      </c>
      <c r="T693" s="37" t="n">
        <f aca="false">'Assumptions &amp; Data'!R827</f>
        <v>176818</v>
      </c>
      <c r="U693" s="37" t="n">
        <f aca="false">'Assumptions &amp; Data'!S827</f>
        <v>245255</v>
      </c>
      <c r="V693" s="39" t="n">
        <f aca="false">Q693-R693-S693-T693-U693</f>
        <v>-292804.158162432</v>
      </c>
      <c r="W693" s="39" t="n">
        <f aca="false">DAY(EOMONTH(C693,0))</f>
        <v>31</v>
      </c>
      <c r="X693" s="40" t="n">
        <f aca="false">E693/W693</f>
        <v>636.387096774194</v>
      </c>
      <c r="Y693" s="39" t="n">
        <f aca="false">R693+S693+T693+U693</f>
        <v>1264467</v>
      </c>
    </row>
    <row r="694" customFormat="false" ht="15" hidden="false" customHeight="false" outlineLevel="0" collapsed="false">
      <c r="A694" s="37" t="str">
        <f aca="false">'Assumptions &amp; Data'!A828</f>
        <v>SM0624</v>
      </c>
      <c r="B694" s="37" t="str">
        <f aca="false">'Assumptions &amp; Data'!B828</f>
        <v>DS052</v>
      </c>
      <c r="C694" s="38" t="n">
        <f aca="false">'Assumptions &amp; Data'!C828</f>
        <v>46266</v>
      </c>
      <c r="D694" s="39" t="str">
        <f aca="false">INDEX('Assumptions &amp; Data'!$B$142:$B$201,MATCH(B694,'Assumptions &amp; Data'!$A$142:$A$201,0))</f>
        <v>Pune</v>
      </c>
      <c r="E694" s="37" t="n">
        <f aca="false">'Assumptions &amp; Data'!D828</f>
        <v>20405</v>
      </c>
      <c r="F694" s="39" t="n">
        <f aca="false">E694*'Assumptions &amp; Data'!E828</f>
        <v>13767253.5</v>
      </c>
      <c r="G694" s="39" t="n">
        <f aca="false">F694*'Assumptions &amp; Data'!F828</f>
        <v>929289.61125</v>
      </c>
      <c r="H694" s="39" t="n">
        <f aca="false">F694-G694</f>
        <v>12837963.88875</v>
      </c>
      <c r="I694" s="39" t="n">
        <f aca="false">H694*'Assumptions &amp; Data'!G828</f>
        <v>2146507.562199</v>
      </c>
      <c r="J694" s="39" t="n">
        <f aca="false">E694*'Assumptions &amp; Data'!H828</f>
        <v>246492.4</v>
      </c>
      <c r="K694" s="39" t="n">
        <f aca="false">H694*'Assumptions &amp; Data'!I828</f>
        <v>286286.594719125</v>
      </c>
      <c r="L694" s="39" t="n">
        <f aca="false">H694*'Assumptions &amp; Data'!J828</f>
        <v>350476.414162875</v>
      </c>
      <c r="M694" s="39" t="n">
        <f aca="false">I694+J694+K694-L694</f>
        <v>2328810.14275525</v>
      </c>
      <c r="N694" s="39" t="n">
        <f aca="false">E694*'Assumptions &amp; Data'!N828</f>
        <v>864355.8</v>
      </c>
      <c r="O694" s="39" t="n">
        <f aca="false">E694*'Assumptions &amp; Data'!O828</f>
        <v>198948.75</v>
      </c>
      <c r="P694" s="39" t="n">
        <f aca="false">H694*'Assumptions &amp; Data'!P828</f>
        <v>133514.824443</v>
      </c>
      <c r="Q694" s="39" t="n">
        <f aca="false">M694-N694-O694-P694</f>
        <v>1131990.76831225</v>
      </c>
      <c r="R694" s="39" t="n">
        <f aca="false">'Assumptions &amp; Data'!L828*'Assumptions &amp; Data'!M828</f>
        <v>472680</v>
      </c>
      <c r="S694" s="37" t="n">
        <f aca="false">'Assumptions &amp; Data'!Q828</f>
        <v>409500</v>
      </c>
      <c r="T694" s="37" t="n">
        <f aca="false">'Assumptions &amp; Data'!R828</f>
        <v>175605</v>
      </c>
      <c r="U694" s="37" t="n">
        <f aca="false">'Assumptions &amp; Data'!S828</f>
        <v>248451</v>
      </c>
      <c r="V694" s="39" t="n">
        <f aca="false">Q694-R694-S694-T694-U694</f>
        <v>-174245.23168775</v>
      </c>
      <c r="W694" s="39" t="n">
        <f aca="false">DAY(EOMONTH(C694,0))</f>
        <v>30</v>
      </c>
      <c r="X694" s="40" t="n">
        <f aca="false">E694/W694</f>
        <v>680.166666666667</v>
      </c>
      <c r="Y694" s="39" t="n">
        <f aca="false">R694+S694+T694+U694</f>
        <v>1306236</v>
      </c>
    </row>
    <row r="695" customFormat="false" ht="15" hidden="false" customHeight="false" outlineLevel="0" collapsed="false">
      <c r="A695" s="37" t="str">
        <f aca="false">'Assumptions &amp; Data'!A829</f>
        <v>SM0625</v>
      </c>
      <c r="B695" s="37" t="str">
        <f aca="false">'Assumptions &amp; Data'!B829</f>
        <v>DS053</v>
      </c>
      <c r="C695" s="38" t="n">
        <f aca="false">'Assumptions &amp; Data'!C829</f>
        <v>45931</v>
      </c>
      <c r="D695" s="39" t="str">
        <f aca="false">INDEX('Assumptions &amp; Data'!$B$142:$B$201,MATCH(B695,'Assumptions &amp; Data'!$A$142:$A$201,0))</f>
        <v>Pune</v>
      </c>
      <c r="E695" s="37" t="n">
        <f aca="false">'Assumptions &amp; Data'!D829</f>
        <v>14425</v>
      </c>
      <c r="F695" s="39" t="n">
        <f aca="false">E695*'Assumptions &amp; Data'!E829</f>
        <v>9056015</v>
      </c>
      <c r="G695" s="39" t="n">
        <f aca="false">F695*'Assumptions &amp; Data'!F829</f>
        <v>519815.261</v>
      </c>
      <c r="H695" s="39" t="n">
        <f aca="false">F695-G695</f>
        <v>8536199.739</v>
      </c>
      <c r="I695" s="39" t="n">
        <f aca="false">H695*'Assumptions &amp; Data'!G829</f>
        <v>1459690.155369</v>
      </c>
      <c r="J695" s="39" t="n">
        <f aca="false">E695*'Assumptions &amp; Data'!H829</f>
        <v>178293</v>
      </c>
      <c r="K695" s="39" t="n">
        <f aca="false">H695*'Assumptions &amp; Data'!I829</f>
        <v>176699.3345973</v>
      </c>
      <c r="L695" s="39" t="n">
        <f aca="false">H695*'Assumptions &amp; Data'!J829</f>
        <v>372178.3086204</v>
      </c>
      <c r="M695" s="39" t="n">
        <f aca="false">I695+J695+K695-L695</f>
        <v>1442504.1813459</v>
      </c>
      <c r="N695" s="39" t="n">
        <f aca="false">E695*'Assumptions &amp; Data'!N829</f>
        <v>632103.5</v>
      </c>
      <c r="O695" s="39" t="n">
        <f aca="false">E695*'Assumptions &amp; Data'!O829</f>
        <v>141509.25</v>
      </c>
      <c r="P695" s="39" t="n">
        <f aca="false">H695*'Assumptions &amp; Data'!P829</f>
        <v>86215.6173639</v>
      </c>
      <c r="Q695" s="39" t="n">
        <f aca="false">M695-N695-O695-P695</f>
        <v>582675.813982</v>
      </c>
      <c r="R695" s="39" t="n">
        <f aca="false">'Assumptions &amp; Data'!L829*'Assumptions &amp; Data'!M829</f>
        <v>312000</v>
      </c>
      <c r="S695" s="37" t="n">
        <f aca="false">'Assumptions &amp; Data'!Q829</f>
        <v>267000</v>
      </c>
      <c r="T695" s="37" t="n">
        <f aca="false">'Assumptions &amp; Data'!R829</f>
        <v>144656</v>
      </c>
      <c r="U695" s="37" t="n">
        <f aca="false">'Assumptions &amp; Data'!S829</f>
        <v>145462</v>
      </c>
      <c r="V695" s="39" t="n">
        <f aca="false">Q695-R695-S695-T695-U695</f>
        <v>-286442.186018</v>
      </c>
      <c r="W695" s="39" t="n">
        <f aca="false">DAY(EOMONTH(C695,0))</f>
        <v>31</v>
      </c>
      <c r="X695" s="40" t="n">
        <f aca="false">E695/W695</f>
        <v>465.322580645161</v>
      </c>
      <c r="Y695" s="39" t="n">
        <f aca="false">R695+S695+T695+U695</f>
        <v>869118</v>
      </c>
    </row>
    <row r="696" customFormat="false" ht="15" hidden="false" customHeight="false" outlineLevel="0" collapsed="false">
      <c r="A696" s="37" t="str">
        <f aca="false">'Assumptions &amp; Data'!A830</f>
        <v>SM0626</v>
      </c>
      <c r="B696" s="37" t="str">
        <f aca="false">'Assumptions &amp; Data'!B830</f>
        <v>DS053</v>
      </c>
      <c r="C696" s="38" t="n">
        <f aca="false">'Assumptions &amp; Data'!C830</f>
        <v>45962</v>
      </c>
      <c r="D696" s="39" t="str">
        <f aca="false">INDEX('Assumptions &amp; Data'!$B$142:$B$201,MATCH(B696,'Assumptions &amp; Data'!$A$142:$A$201,0))</f>
        <v>Pune</v>
      </c>
      <c r="E696" s="37" t="n">
        <f aca="false">'Assumptions &amp; Data'!D830</f>
        <v>14750</v>
      </c>
      <c r="F696" s="39" t="n">
        <f aca="false">E696*'Assumptions &amp; Data'!E830</f>
        <v>9221700</v>
      </c>
      <c r="G696" s="39" t="n">
        <f aca="false">F696*'Assumptions &amp; Data'!F830</f>
        <v>572667.57</v>
      </c>
      <c r="H696" s="39" t="n">
        <f aca="false">F696-G696</f>
        <v>8649032.43</v>
      </c>
      <c r="I696" s="39" t="n">
        <f aca="false">H696*'Assumptions &amp; Data'!G830</f>
        <v>1420171.125006</v>
      </c>
      <c r="J696" s="39" t="n">
        <f aca="false">E696*'Assumptions &amp; Data'!H830</f>
        <v>176852.5</v>
      </c>
      <c r="K696" s="39" t="n">
        <f aca="false">H696*'Assumptions &amp; Data'!I830</f>
        <v>192008.519946</v>
      </c>
      <c r="L696" s="39" t="n">
        <f aca="false">H696*'Assumptions &amp; Data'!J830</f>
        <v>356340.136116</v>
      </c>
      <c r="M696" s="39" t="n">
        <f aca="false">I696+J696+K696-L696</f>
        <v>1432692.008836</v>
      </c>
      <c r="N696" s="39" t="n">
        <f aca="false">E696*'Assumptions &amp; Data'!N830</f>
        <v>626727.5</v>
      </c>
      <c r="O696" s="39" t="n">
        <f aca="false">E696*'Assumptions &amp; Data'!O830</f>
        <v>144550</v>
      </c>
      <c r="P696" s="39" t="n">
        <f aca="false">H696*'Assumptions &amp; Data'!P830</f>
        <v>88220.130786</v>
      </c>
      <c r="Q696" s="39" t="n">
        <f aca="false">M696-N696-O696-P696</f>
        <v>573194.37805</v>
      </c>
      <c r="R696" s="39" t="n">
        <f aca="false">'Assumptions &amp; Data'!L830*'Assumptions &amp; Data'!M830</f>
        <v>312288</v>
      </c>
      <c r="S696" s="37" t="n">
        <f aca="false">'Assumptions &amp; Data'!Q830</f>
        <v>267000</v>
      </c>
      <c r="T696" s="37" t="n">
        <f aca="false">'Assumptions &amp; Data'!R830</f>
        <v>138950</v>
      </c>
      <c r="U696" s="37" t="n">
        <f aca="false">'Assumptions &amp; Data'!S830</f>
        <v>120952</v>
      </c>
      <c r="V696" s="39" t="n">
        <f aca="false">Q696-R696-S696-T696-U696</f>
        <v>-265995.62195</v>
      </c>
      <c r="W696" s="39" t="n">
        <f aca="false">DAY(EOMONTH(C696,0))</f>
        <v>30</v>
      </c>
      <c r="X696" s="40" t="n">
        <f aca="false">E696/W696</f>
        <v>491.666666666667</v>
      </c>
      <c r="Y696" s="39" t="n">
        <f aca="false">R696+S696+T696+U696</f>
        <v>839190</v>
      </c>
    </row>
    <row r="697" customFormat="false" ht="15" hidden="false" customHeight="false" outlineLevel="0" collapsed="false">
      <c r="A697" s="37" t="str">
        <f aca="false">'Assumptions &amp; Data'!A831</f>
        <v>SM0627</v>
      </c>
      <c r="B697" s="37" t="str">
        <f aca="false">'Assumptions &amp; Data'!B831</f>
        <v>DS053</v>
      </c>
      <c r="C697" s="38" t="n">
        <f aca="false">'Assumptions &amp; Data'!C831</f>
        <v>45992</v>
      </c>
      <c r="D697" s="39" t="str">
        <f aca="false">INDEX('Assumptions &amp; Data'!$B$142:$B$201,MATCH(B697,'Assumptions &amp; Data'!$A$142:$A$201,0))</f>
        <v>Pune</v>
      </c>
      <c r="E697" s="37" t="n">
        <f aca="false">'Assumptions &amp; Data'!D831</f>
        <v>15900</v>
      </c>
      <c r="F697" s="39" t="n">
        <f aca="false">E697*'Assumptions &amp; Data'!E831</f>
        <v>9931140</v>
      </c>
      <c r="G697" s="39" t="n">
        <f aca="false">F697*'Assumptions &amp; Data'!F831</f>
        <v>552171.384</v>
      </c>
      <c r="H697" s="39" t="n">
        <f aca="false">F697-G697</f>
        <v>9378968.616</v>
      </c>
      <c r="I697" s="39" t="n">
        <f aca="false">H697*'Assumptions &amp; Data'!G831</f>
        <v>1557846.6871176</v>
      </c>
      <c r="J697" s="39" t="n">
        <f aca="false">E697*'Assumptions &amp; Data'!H831</f>
        <v>190800</v>
      </c>
      <c r="K697" s="39" t="n">
        <f aca="false">H697*'Assumptions &amp; Data'!I831</f>
        <v>213840.4844448</v>
      </c>
      <c r="L697" s="39" t="n">
        <f aca="false">H697*'Assumptions &amp; Data'!J831</f>
        <v>388289.3007024</v>
      </c>
      <c r="M697" s="39" t="n">
        <f aca="false">I697+J697+K697-L697</f>
        <v>1574197.87086</v>
      </c>
      <c r="N697" s="39" t="n">
        <f aca="false">E697*'Assumptions &amp; Data'!N831</f>
        <v>675432</v>
      </c>
      <c r="O697" s="39" t="n">
        <f aca="false">E697*'Assumptions &amp; Data'!O831</f>
        <v>153753</v>
      </c>
      <c r="P697" s="39" t="n">
        <f aca="false">H697*'Assumptions &amp; Data'!P831</f>
        <v>91913.8924368</v>
      </c>
      <c r="Q697" s="39" t="n">
        <f aca="false">M697-N697-O697-P697</f>
        <v>653098.9784232</v>
      </c>
      <c r="R697" s="39" t="n">
        <f aca="false">'Assumptions &amp; Data'!L831*'Assumptions &amp; Data'!M831</f>
        <v>312560</v>
      </c>
      <c r="S697" s="37" t="n">
        <f aca="false">'Assumptions &amp; Data'!Q831</f>
        <v>267000</v>
      </c>
      <c r="T697" s="37" t="n">
        <f aca="false">'Assumptions &amp; Data'!R831</f>
        <v>142765</v>
      </c>
      <c r="U697" s="37" t="n">
        <f aca="false">'Assumptions &amp; Data'!S831</f>
        <v>128637</v>
      </c>
      <c r="V697" s="39" t="n">
        <f aca="false">Q697-R697-S697-T697-U697</f>
        <v>-197863.0215768</v>
      </c>
      <c r="W697" s="39" t="n">
        <f aca="false">DAY(EOMONTH(C697,0))</f>
        <v>31</v>
      </c>
      <c r="X697" s="40" t="n">
        <f aca="false">E697/W697</f>
        <v>512.903225806452</v>
      </c>
      <c r="Y697" s="39" t="n">
        <f aca="false">R697+S697+T697+U697</f>
        <v>850962</v>
      </c>
    </row>
    <row r="698" customFormat="false" ht="15" hidden="false" customHeight="false" outlineLevel="0" collapsed="false">
      <c r="A698" s="37" t="str">
        <f aca="false">'Assumptions &amp; Data'!A832</f>
        <v>SM0628</v>
      </c>
      <c r="B698" s="37" t="str">
        <f aca="false">'Assumptions &amp; Data'!B832</f>
        <v>DS053</v>
      </c>
      <c r="C698" s="38" t="n">
        <f aca="false">'Assumptions &amp; Data'!C832</f>
        <v>46023</v>
      </c>
      <c r="D698" s="39" t="str">
        <f aca="false">INDEX('Assumptions &amp; Data'!$B$142:$B$201,MATCH(B698,'Assumptions &amp; Data'!$A$142:$A$201,0))</f>
        <v>Pune</v>
      </c>
      <c r="E698" s="37" t="n">
        <f aca="false">'Assumptions &amp; Data'!D832</f>
        <v>15460</v>
      </c>
      <c r="F698" s="39" t="n">
        <f aca="false">E698*'Assumptions &amp; Data'!E832</f>
        <v>9710426</v>
      </c>
      <c r="G698" s="39" t="n">
        <f aca="false">F698*'Assumptions &amp; Data'!F832</f>
        <v>535044.4726</v>
      </c>
      <c r="H698" s="39" t="n">
        <f aca="false">F698-G698</f>
        <v>9175381.5274</v>
      </c>
      <c r="I698" s="39" t="n">
        <f aca="false">H698*'Assumptions &amp; Data'!G832</f>
        <v>1542381.63475594</v>
      </c>
      <c r="J698" s="39" t="n">
        <f aca="false">E698*'Assumptions &amp; Data'!H832</f>
        <v>183201</v>
      </c>
      <c r="K698" s="39" t="n">
        <f aca="false">H698*'Assumptions &amp; Data'!I832</f>
        <v>189930.39761718</v>
      </c>
      <c r="L698" s="39" t="n">
        <f aca="false">H698*'Assumptions &amp; Data'!J832</f>
        <v>393623.86752546</v>
      </c>
      <c r="M698" s="39" t="n">
        <f aca="false">I698+J698+K698-L698</f>
        <v>1521889.16484766</v>
      </c>
      <c r="N698" s="39" t="n">
        <f aca="false">E698*'Assumptions &amp; Data'!N832</f>
        <v>659059.8</v>
      </c>
      <c r="O698" s="39" t="n">
        <f aca="false">E698*'Assumptions &amp; Data'!O832</f>
        <v>154600</v>
      </c>
      <c r="P698" s="39" t="n">
        <f aca="false">H698*'Assumptions &amp; Data'!P832</f>
        <v>89918.73896852</v>
      </c>
      <c r="Q698" s="39" t="n">
        <f aca="false">M698-N698-O698-P698</f>
        <v>618310.62587914</v>
      </c>
      <c r="R698" s="39" t="n">
        <f aca="false">'Assumptions &amp; Data'!L832*'Assumptions &amp; Data'!M832</f>
        <v>312848</v>
      </c>
      <c r="S698" s="37" t="n">
        <f aca="false">'Assumptions &amp; Data'!Q832</f>
        <v>267000</v>
      </c>
      <c r="T698" s="37" t="n">
        <f aca="false">'Assumptions &amp; Data'!R832</f>
        <v>148165</v>
      </c>
      <c r="U698" s="37" t="n">
        <f aca="false">'Assumptions &amp; Data'!S832</f>
        <v>120848</v>
      </c>
      <c r="V698" s="39" t="n">
        <f aca="false">Q698-R698-S698-T698-U698</f>
        <v>-230550.37412086</v>
      </c>
      <c r="W698" s="39" t="n">
        <f aca="false">DAY(EOMONTH(C698,0))</f>
        <v>31</v>
      </c>
      <c r="X698" s="40" t="n">
        <f aca="false">E698/W698</f>
        <v>498.709677419355</v>
      </c>
      <c r="Y698" s="39" t="n">
        <f aca="false">R698+S698+T698+U698</f>
        <v>848861</v>
      </c>
    </row>
    <row r="699" customFormat="false" ht="15" hidden="false" customHeight="false" outlineLevel="0" collapsed="false">
      <c r="A699" s="37" t="str">
        <f aca="false">'Assumptions &amp; Data'!A833</f>
        <v>SM0629</v>
      </c>
      <c r="B699" s="37" t="str">
        <f aca="false">'Assumptions &amp; Data'!B833</f>
        <v>DS053</v>
      </c>
      <c r="C699" s="38" t="n">
        <f aca="false">'Assumptions &amp; Data'!C833</f>
        <v>46054</v>
      </c>
      <c r="D699" s="39" t="str">
        <f aca="false">INDEX('Assumptions &amp; Data'!$B$142:$B$201,MATCH(B699,'Assumptions &amp; Data'!$A$142:$A$201,0))</f>
        <v>Pune</v>
      </c>
      <c r="E699" s="37" t="n">
        <f aca="false">'Assumptions &amp; Data'!D833</f>
        <v>16609</v>
      </c>
      <c r="F699" s="39" t="n">
        <f aca="false">E699*'Assumptions &amp; Data'!E833</f>
        <v>10370659.6</v>
      </c>
      <c r="G699" s="39" t="n">
        <f aca="false">F699*'Assumptions &amp; Data'!F833</f>
        <v>601498.2568</v>
      </c>
      <c r="H699" s="39" t="n">
        <f aca="false">F699-G699</f>
        <v>9769161.3432</v>
      </c>
      <c r="I699" s="39" t="n">
        <f aca="false">H699*'Assumptions &amp; Data'!G833</f>
        <v>1614842.37003096</v>
      </c>
      <c r="J699" s="39" t="n">
        <f aca="false">E699*'Assumptions &amp; Data'!H833</f>
        <v>204124.61</v>
      </c>
      <c r="K699" s="39" t="n">
        <f aca="false">H699*'Assumptions &amp; Data'!I833</f>
        <v>238367.53677408</v>
      </c>
      <c r="L699" s="39" t="n">
        <f aca="false">H699*'Assumptions &amp; Data'!J833</f>
        <v>404443.27960848</v>
      </c>
      <c r="M699" s="39" t="n">
        <f aca="false">I699+J699+K699-L699</f>
        <v>1652891.23719656</v>
      </c>
      <c r="N699" s="39" t="n">
        <f aca="false">E699*'Assumptions &amp; Data'!N833</f>
        <v>711861.74</v>
      </c>
      <c r="O699" s="39" t="n">
        <f aca="false">E699*'Assumptions &amp; Data'!O833</f>
        <v>169910.07</v>
      </c>
      <c r="P699" s="39" t="n">
        <f aca="false">H699*'Assumptions &amp; Data'!P833</f>
        <v>101599.27796928</v>
      </c>
      <c r="Q699" s="39" t="n">
        <f aca="false">M699-N699-O699-P699</f>
        <v>669520.14922728</v>
      </c>
      <c r="R699" s="39" t="n">
        <f aca="false">'Assumptions &amp; Data'!L833*'Assumptions &amp; Data'!M833</f>
        <v>332707</v>
      </c>
      <c r="S699" s="37" t="n">
        <f aca="false">'Assumptions &amp; Data'!Q833</f>
        <v>267000</v>
      </c>
      <c r="T699" s="37" t="n">
        <f aca="false">'Assumptions &amp; Data'!R833</f>
        <v>133146</v>
      </c>
      <c r="U699" s="37" t="n">
        <f aca="false">'Assumptions &amp; Data'!S833</f>
        <v>130860</v>
      </c>
      <c r="V699" s="39" t="n">
        <f aca="false">Q699-R699-S699-T699-U699</f>
        <v>-194192.85077272</v>
      </c>
      <c r="W699" s="39" t="n">
        <f aca="false">DAY(EOMONTH(C699,0))</f>
        <v>28</v>
      </c>
      <c r="X699" s="40" t="n">
        <f aca="false">E699/W699</f>
        <v>593.178571428571</v>
      </c>
      <c r="Y699" s="39" t="n">
        <f aca="false">R699+S699+T699+U699</f>
        <v>863713</v>
      </c>
    </row>
    <row r="700" customFormat="false" ht="15" hidden="false" customHeight="false" outlineLevel="0" collapsed="false">
      <c r="A700" s="37" t="str">
        <f aca="false">'Assumptions &amp; Data'!A834</f>
        <v>SM0630</v>
      </c>
      <c r="B700" s="37" t="str">
        <f aca="false">'Assumptions &amp; Data'!B834</f>
        <v>DS053</v>
      </c>
      <c r="C700" s="38" t="n">
        <f aca="false">'Assumptions &amp; Data'!C834</f>
        <v>46082</v>
      </c>
      <c r="D700" s="39" t="str">
        <f aca="false">INDEX('Assumptions &amp; Data'!$B$142:$B$201,MATCH(B700,'Assumptions &amp; Data'!$A$142:$A$201,0))</f>
        <v>Pune</v>
      </c>
      <c r="E700" s="37" t="n">
        <f aca="false">'Assumptions &amp; Data'!D834</f>
        <v>18576</v>
      </c>
      <c r="F700" s="39" t="n">
        <f aca="false">E700*'Assumptions &amp; Data'!E834</f>
        <v>11879352</v>
      </c>
      <c r="G700" s="39" t="n">
        <f aca="false">F700*'Assumptions &amp; Data'!F834</f>
        <v>697317.9624</v>
      </c>
      <c r="H700" s="39" t="n">
        <f aca="false">F700-G700</f>
        <v>11182034.0376</v>
      </c>
      <c r="I700" s="39" t="n">
        <f aca="false">H700*'Assumptions &amp; Data'!G834</f>
        <v>1897591.17618072</v>
      </c>
      <c r="J700" s="39" t="n">
        <f aca="false">E700*'Assumptions &amp; Data'!H834</f>
        <v>237772.8</v>
      </c>
      <c r="K700" s="39" t="n">
        <f aca="false">H700*'Assumptions &amp; Data'!I834</f>
        <v>259423.18967232</v>
      </c>
      <c r="L700" s="39" t="n">
        <f aca="false">H700*'Assumptions &amp; Data'!J834</f>
        <v>455108.78533032</v>
      </c>
      <c r="M700" s="39" t="n">
        <f aca="false">I700+J700+K700-L700</f>
        <v>1939678.38052272</v>
      </c>
      <c r="N700" s="39" t="n">
        <f aca="false">E700*'Assumptions &amp; Data'!N834</f>
        <v>780935.04</v>
      </c>
      <c r="O700" s="39" t="n">
        <f aca="false">E700*'Assumptions &amp; Data'!O834</f>
        <v>178143.84</v>
      </c>
      <c r="P700" s="39" t="n">
        <f aca="false">H700*'Assumptions &amp; Data'!P834</f>
        <v>109583.93356848</v>
      </c>
      <c r="Q700" s="39" t="n">
        <f aca="false">M700-N700-O700-P700</f>
        <v>871015.56695424</v>
      </c>
      <c r="R700" s="39" t="n">
        <f aca="false">'Assumptions &amp; Data'!L834*'Assumptions &amp; Data'!M834</f>
        <v>352602</v>
      </c>
      <c r="S700" s="37" t="n">
        <f aca="false">'Assumptions &amp; Data'!Q834</f>
        <v>267000</v>
      </c>
      <c r="T700" s="37" t="n">
        <f aca="false">'Assumptions &amp; Data'!R834</f>
        <v>132713</v>
      </c>
      <c r="U700" s="37" t="n">
        <f aca="false">'Assumptions &amp; Data'!S834</f>
        <v>141125</v>
      </c>
      <c r="V700" s="39" t="n">
        <f aca="false">Q700-R700-S700-T700-U700</f>
        <v>-22424.4330457601</v>
      </c>
      <c r="W700" s="39" t="n">
        <f aca="false">DAY(EOMONTH(C700,0))</f>
        <v>31</v>
      </c>
      <c r="X700" s="40" t="n">
        <f aca="false">E700/W700</f>
        <v>599.225806451613</v>
      </c>
      <c r="Y700" s="39" t="n">
        <f aca="false">R700+S700+T700+U700</f>
        <v>893440</v>
      </c>
    </row>
    <row r="701" customFormat="false" ht="15" hidden="false" customHeight="false" outlineLevel="0" collapsed="false">
      <c r="A701" s="37" t="str">
        <f aca="false">'Assumptions &amp; Data'!A835</f>
        <v>SM0631</v>
      </c>
      <c r="B701" s="37" t="str">
        <f aca="false">'Assumptions &amp; Data'!B835</f>
        <v>DS053</v>
      </c>
      <c r="C701" s="38" t="n">
        <f aca="false">'Assumptions &amp; Data'!C835</f>
        <v>46113</v>
      </c>
      <c r="D701" s="39" t="str">
        <f aca="false">INDEX('Assumptions &amp; Data'!$B$142:$B$201,MATCH(B701,'Assumptions &amp; Data'!$A$142:$A$201,0))</f>
        <v>Pune</v>
      </c>
      <c r="E701" s="37" t="n">
        <f aca="false">'Assumptions &amp; Data'!D835</f>
        <v>17942</v>
      </c>
      <c r="F701" s="39" t="n">
        <f aca="false">E701*'Assumptions &amp; Data'!E835</f>
        <v>11396758.4</v>
      </c>
      <c r="G701" s="39" t="n">
        <f aca="false">F701*'Assumptions &amp; Data'!F835</f>
        <v>591491.76096</v>
      </c>
      <c r="H701" s="39" t="n">
        <f aca="false">F701-G701</f>
        <v>10805266.63904</v>
      </c>
      <c r="I701" s="39" t="n">
        <f aca="false">H701*'Assumptions &amp; Data'!G835</f>
        <v>1815284.79535872</v>
      </c>
      <c r="J701" s="39" t="n">
        <f aca="false">E701*'Assumptions &amp; Data'!H835</f>
        <v>208306.62</v>
      </c>
      <c r="K701" s="39" t="n">
        <f aca="false">H701*'Assumptions &amp; Data'!I835</f>
        <v>252843.239353536</v>
      </c>
      <c r="L701" s="39" t="n">
        <f aca="false">H701*'Assumptions &amp; Data'!J835</f>
        <v>432210.6655616</v>
      </c>
      <c r="M701" s="39" t="n">
        <f aca="false">I701+J701+K701-L701</f>
        <v>1844223.98915066</v>
      </c>
      <c r="N701" s="39" t="n">
        <f aca="false">E701*'Assumptions &amp; Data'!N835</f>
        <v>758587.76</v>
      </c>
      <c r="O701" s="39" t="n">
        <f aca="false">E701*'Assumptions &amp; Data'!O835</f>
        <v>178343.48</v>
      </c>
      <c r="P701" s="39" t="n">
        <f aca="false">H701*'Assumptions &amp; Data'!P835</f>
        <v>106972.139726496</v>
      </c>
      <c r="Q701" s="39" t="n">
        <f aca="false">M701-N701-O701-P701</f>
        <v>800320.60942416</v>
      </c>
      <c r="R701" s="39" t="n">
        <f aca="false">'Assumptions &amp; Data'!L835*'Assumptions &amp; Data'!M835</f>
        <v>372514</v>
      </c>
      <c r="S701" s="37" t="n">
        <f aca="false">'Assumptions &amp; Data'!Q835</f>
        <v>267000</v>
      </c>
      <c r="T701" s="37" t="n">
        <f aca="false">'Assumptions &amp; Data'!R835</f>
        <v>137162</v>
      </c>
      <c r="U701" s="37" t="n">
        <f aca="false">'Assumptions &amp; Data'!S835</f>
        <v>122350</v>
      </c>
      <c r="V701" s="39" t="n">
        <f aca="false">Q701-R701-S701-T701-U701</f>
        <v>-98705.3905758397</v>
      </c>
      <c r="W701" s="39" t="n">
        <f aca="false">DAY(EOMONTH(C701,0))</f>
        <v>30</v>
      </c>
      <c r="X701" s="40" t="n">
        <f aca="false">E701/W701</f>
        <v>598.066666666667</v>
      </c>
      <c r="Y701" s="39" t="n">
        <f aca="false">R701+S701+T701+U701</f>
        <v>899026</v>
      </c>
    </row>
    <row r="702" customFormat="false" ht="15" hidden="false" customHeight="false" outlineLevel="0" collapsed="false">
      <c r="A702" s="37" t="str">
        <f aca="false">'Assumptions &amp; Data'!A836</f>
        <v>SM0632</v>
      </c>
      <c r="B702" s="37" t="str">
        <f aca="false">'Assumptions &amp; Data'!B836</f>
        <v>DS053</v>
      </c>
      <c r="C702" s="38" t="n">
        <f aca="false">'Assumptions &amp; Data'!C836</f>
        <v>46143</v>
      </c>
      <c r="D702" s="39" t="str">
        <f aca="false">INDEX('Assumptions &amp; Data'!$B$142:$B$201,MATCH(B702,'Assumptions &amp; Data'!$A$142:$A$201,0))</f>
        <v>Pune</v>
      </c>
      <c r="E702" s="37" t="n">
        <f aca="false">'Assumptions &amp; Data'!D836</f>
        <v>20892</v>
      </c>
      <c r="F702" s="39" t="n">
        <f aca="false">E702*'Assumptions &amp; Data'!E836</f>
        <v>13485786</v>
      </c>
      <c r="G702" s="39" t="n">
        <f aca="false">F702*'Assumptions &amp; Data'!F836</f>
        <v>737672.4942</v>
      </c>
      <c r="H702" s="39" t="n">
        <f aca="false">F702-G702</f>
        <v>12748113.5058</v>
      </c>
      <c r="I702" s="39" t="n">
        <f aca="false">H702*'Assumptions &amp; Data'!G836</f>
        <v>2126385.33276744</v>
      </c>
      <c r="J702" s="39" t="n">
        <f aca="false">E702*'Assumptions &amp; Data'!H836</f>
        <v>255718.08</v>
      </c>
      <c r="K702" s="39" t="n">
        <f aca="false">H702*'Assumptions &amp; Data'!I836</f>
        <v>294481.42198398</v>
      </c>
      <c r="L702" s="39" t="n">
        <f aca="false">H702*'Assumptions &amp; Data'!J836</f>
        <v>490802.3699733</v>
      </c>
      <c r="M702" s="39" t="n">
        <f aca="false">I702+J702+K702-L702</f>
        <v>2185782.46477812</v>
      </c>
      <c r="N702" s="39" t="n">
        <f aca="false">E702*'Assumptions &amp; Data'!N836</f>
        <v>847379.52</v>
      </c>
      <c r="O702" s="39" t="n">
        <f aca="false">E702*'Assumptions &amp; Data'!O836</f>
        <v>213516.24</v>
      </c>
      <c r="P702" s="39" t="n">
        <f aca="false">H702*'Assumptions &amp; Data'!P836</f>
        <v>126206.32370742</v>
      </c>
      <c r="Q702" s="39" t="n">
        <f aca="false">M702-N702-O702-P702</f>
        <v>998680.3810707</v>
      </c>
      <c r="R702" s="39" t="n">
        <f aca="false">'Assumptions &amp; Data'!L836*'Assumptions &amp; Data'!M836</f>
        <v>412104</v>
      </c>
      <c r="S702" s="37" t="n">
        <f aca="false">'Assumptions &amp; Data'!Q836</f>
        <v>267000</v>
      </c>
      <c r="T702" s="37" t="n">
        <f aca="false">'Assumptions &amp; Data'!R836</f>
        <v>137471</v>
      </c>
      <c r="U702" s="37" t="n">
        <f aca="false">'Assumptions &amp; Data'!S836</f>
        <v>148325</v>
      </c>
      <c r="V702" s="39" t="n">
        <f aca="false">Q702-R702-S702-T702-U702</f>
        <v>33780.3810707001</v>
      </c>
      <c r="W702" s="39" t="n">
        <f aca="false">DAY(EOMONTH(C702,0))</f>
        <v>31</v>
      </c>
      <c r="X702" s="40" t="n">
        <f aca="false">E702/W702</f>
        <v>673.935483870968</v>
      </c>
      <c r="Y702" s="39" t="n">
        <f aca="false">R702+S702+T702+U702</f>
        <v>964900</v>
      </c>
    </row>
    <row r="703" customFormat="false" ht="15" hidden="false" customHeight="false" outlineLevel="0" collapsed="false">
      <c r="A703" s="37" t="str">
        <f aca="false">'Assumptions &amp; Data'!A837</f>
        <v>SM0633</v>
      </c>
      <c r="B703" s="37" t="str">
        <f aca="false">'Assumptions &amp; Data'!B837</f>
        <v>DS053</v>
      </c>
      <c r="C703" s="38" t="n">
        <f aca="false">'Assumptions &amp; Data'!C837</f>
        <v>46174</v>
      </c>
      <c r="D703" s="39" t="str">
        <f aca="false">INDEX('Assumptions &amp; Data'!$B$142:$B$201,MATCH(B703,'Assumptions &amp; Data'!$A$142:$A$201,0))</f>
        <v>Pune</v>
      </c>
      <c r="E703" s="37" t="n">
        <f aca="false">'Assumptions &amp; Data'!D837</f>
        <v>19797</v>
      </c>
      <c r="F703" s="39" t="n">
        <f aca="false">E703*'Assumptions &amp; Data'!E837</f>
        <v>12771044.7</v>
      </c>
      <c r="G703" s="39" t="n">
        <f aca="false">F703*'Assumptions &amp; Data'!F837</f>
        <v>731780.86131</v>
      </c>
      <c r="H703" s="39" t="n">
        <f aca="false">F703-G703</f>
        <v>12039263.83869</v>
      </c>
      <c r="I703" s="39" t="n">
        <f aca="false">H703*'Assumptions &amp; Data'!G837</f>
        <v>2046674.8525773</v>
      </c>
      <c r="J703" s="39" t="n">
        <f aca="false">E703*'Assumptions &amp; Data'!H837</f>
        <v>239543.7</v>
      </c>
      <c r="K703" s="39" t="n">
        <f aca="false">H703*'Assumptions &amp; Data'!I837</f>
        <v>300981.59596725</v>
      </c>
      <c r="L703" s="39" t="n">
        <f aca="false">H703*'Assumptions &amp; Data'!J837</f>
        <v>467123.436941172</v>
      </c>
      <c r="M703" s="39" t="n">
        <f aca="false">I703+J703+K703-L703</f>
        <v>2120076.71160338</v>
      </c>
      <c r="N703" s="39" t="n">
        <f aca="false">E703*'Assumptions &amp; Data'!N837</f>
        <v>816428.28</v>
      </c>
      <c r="O703" s="39" t="n">
        <f aca="false">E703*'Assumptions &amp; Data'!O837</f>
        <v>195594.36</v>
      </c>
      <c r="P703" s="39" t="n">
        <f aca="false">H703*'Assumptions &amp; Data'!P837</f>
        <v>116780.859235293</v>
      </c>
      <c r="Q703" s="39" t="n">
        <f aca="false">M703-N703-O703-P703</f>
        <v>991273.212368085</v>
      </c>
      <c r="R703" s="39" t="n">
        <f aca="false">'Assumptions &amp; Data'!L837*'Assumptions &amp; Data'!M837</f>
        <v>373198</v>
      </c>
      <c r="S703" s="37" t="n">
        <f aca="false">'Assumptions &amp; Data'!Q837</f>
        <v>267000</v>
      </c>
      <c r="T703" s="37" t="n">
        <f aca="false">'Assumptions &amp; Data'!R837</f>
        <v>129672</v>
      </c>
      <c r="U703" s="37" t="n">
        <f aca="false">'Assumptions &amp; Data'!S837</f>
        <v>134215</v>
      </c>
      <c r="V703" s="39" t="n">
        <f aca="false">Q703-R703-S703-T703-U703</f>
        <v>87188.2123680853</v>
      </c>
      <c r="W703" s="39" t="n">
        <f aca="false">DAY(EOMONTH(C703,0))</f>
        <v>30</v>
      </c>
      <c r="X703" s="40" t="n">
        <f aca="false">E703/W703</f>
        <v>659.9</v>
      </c>
      <c r="Y703" s="39" t="n">
        <f aca="false">R703+S703+T703+U703</f>
        <v>904085</v>
      </c>
    </row>
    <row r="704" customFormat="false" ht="15" hidden="false" customHeight="false" outlineLevel="0" collapsed="false">
      <c r="A704" s="37" t="str">
        <f aca="false">'Assumptions &amp; Data'!A838</f>
        <v>SM0634</v>
      </c>
      <c r="B704" s="37" t="str">
        <f aca="false">'Assumptions &amp; Data'!B838</f>
        <v>DS053</v>
      </c>
      <c r="C704" s="38" t="n">
        <f aca="false">'Assumptions &amp; Data'!C838</f>
        <v>46204</v>
      </c>
      <c r="D704" s="39" t="str">
        <f aca="false">INDEX('Assumptions &amp; Data'!$B$142:$B$201,MATCH(B704,'Assumptions &amp; Data'!$A$142:$A$201,0))</f>
        <v>Pune</v>
      </c>
      <c r="E704" s="37" t="n">
        <f aca="false">'Assumptions &amp; Data'!D838</f>
        <v>19892</v>
      </c>
      <c r="F704" s="39" t="n">
        <f aca="false">E704*'Assumptions &amp; Data'!E838</f>
        <v>12754750.4</v>
      </c>
      <c r="G704" s="39" t="n">
        <f aca="false">F704*'Assumptions &amp; Data'!F838</f>
        <v>677277.24624</v>
      </c>
      <c r="H704" s="39" t="n">
        <f aca="false">F704-G704</f>
        <v>12077473.15376</v>
      </c>
      <c r="I704" s="39" t="n">
        <f aca="false">H704*'Assumptions &amp; Data'!G838</f>
        <v>2043508.45761619</v>
      </c>
      <c r="J704" s="39" t="n">
        <f aca="false">E704*'Assumptions &amp; Data'!H838</f>
        <v>247456.48</v>
      </c>
      <c r="K704" s="39" t="n">
        <f aca="false">H704*'Assumptions &amp; Data'!I838</f>
        <v>283820.61911336</v>
      </c>
      <c r="L704" s="39" t="n">
        <f aca="false">H704*'Assumptions &amp; Data'!J838</f>
        <v>473436.947627392</v>
      </c>
      <c r="M704" s="39" t="n">
        <f aca="false">I704+J704+K704-L704</f>
        <v>2101348.60910216</v>
      </c>
      <c r="N704" s="39" t="n">
        <f aca="false">E704*'Assumptions &amp; Data'!N838</f>
        <v>830689.92</v>
      </c>
      <c r="O704" s="39" t="n">
        <f aca="false">E704*'Assumptions &amp; Data'!O838</f>
        <v>197527.56</v>
      </c>
      <c r="P704" s="39" t="n">
        <f aca="false">H704*'Assumptions &amp; Data'!P838</f>
        <v>121982.478852976</v>
      </c>
      <c r="Q704" s="39" t="n">
        <f aca="false">M704-N704-O704-P704</f>
        <v>951148.650249184</v>
      </c>
      <c r="R704" s="39" t="n">
        <f aca="false">'Assumptions &amp; Data'!L838*'Assumptions &amp; Data'!M838</f>
        <v>373540</v>
      </c>
      <c r="S704" s="37" t="n">
        <f aca="false">'Assumptions &amp; Data'!Q838</f>
        <v>267000</v>
      </c>
      <c r="T704" s="37" t="n">
        <f aca="false">'Assumptions &amp; Data'!R838</f>
        <v>138903</v>
      </c>
      <c r="U704" s="37" t="n">
        <f aca="false">'Assumptions &amp; Data'!S838</f>
        <v>125896</v>
      </c>
      <c r="V704" s="39" t="n">
        <f aca="false">Q704-R704-S704-T704-U704</f>
        <v>45809.6502491838</v>
      </c>
      <c r="W704" s="39" t="n">
        <f aca="false">DAY(EOMONTH(C704,0))</f>
        <v>31</v>
      </c>
      <c r="X704" s="40" t="n">
        <f aca="false">E704/W704</f>
        <v>641.677419354839</v>
      </c>
      <c r="Y704" s="39" t="n">
        <f aca="false">R704+S704+T704+U704</f>
        <v>905339</v>
      </c>
    </row>
    <row r="705" customFormat="false" ht="15" hidden="false" customHeight="false" outlineLevel="0" collapsed="false">
      <c r="A705" s="37" t="str">
        <f aca="false">'Assumptions &amp; Data'!A839</f>
        <v>SM0635</v>
      </c>
      <c r="B705" s="37" t="str">
        <f aca="false">'Assumptions &amp; Data'!B839</f>
        <v>DS053</v>
      </c>
      <c r="C705" s="38" t="n">
        <f aca="false">'Assumptions &amp; Data'!C839</f>
        <v>46235</v>
      </c>
      <c r="D705" s="39" t="str">
        <f aca="false">INDEX('Assumptions &amp; Data'!$B$142:$B$201,MATCH(B705,'Assumptions &amp; Data'!$A$142:$A$201,0))</f>
        <v>Pune</v>
      </c>
      <c r="E705" s="37" t="n">
        <f aca="false">'Assumptions &amp; Data'!D839</f>
        <v>20688</v>
      </c>
      <c r="F705" s="39" t="n">
        <f aca="false">E705*'Assumptions &amp; Data'!E839</f>
        <v>13070678.4</v>
      </c>
      <c r="G705" s="39" t="n">
        <f aca="false">F705*'Assumptions &amp; Data'!F839</f>
        <v>684903.54816</v>
      </c>
      <c r="H705" s="39" t="n">
        <f aca="false">F705-G705</f>
        <v>12385774.85184</v>
      </c>
      <c r="I705" s="39" t="n">
        <f aca="false">H705*'Assumptions &amp; Data'!G839</f>
        <v>2077094.44265357</v>
      </c>
      <c r="J705" s="39" t="n">
        <f aca="false">E705*'Assumptions &amp; Data'!H839</f>
        <v>255703.68</v>
      </c>
      <c r="K705" s="39" t="n">
        <f aca="false">H705*'Assumptions &amp; Data'!I839</f>
        <v>291065.70901824</v>
      </c>
      <c r="L705" s="39" t="n">
        <f aca="false">H705*'Assumptions &amp; Data'!J839</f>
        <v>492953.839103232</v>
      </c>
      <c r="M705" s="39" t="n">
        <f aca="false">I705+J705+K705-L705</f>
        <v>2130909.99256858</v>
      </c>
      <c r="N705" s="39" t="n">
        <f aca="false">E705*'Assumptions &amp; Data'!N839</f>
        <v>842208.48</v>
      </c>
      <c r="O705" s="39" t="n">
        <f aca="false">E705*'Assumptions &amp; Data'!O839</f>
        <v>208328.16</v>
      </c>
      <c r="P705" s="39" t="n">
        <f aca="false">H705*'Assumptions &amp; Data'!P839</f>
        <v>120142.016062848</v>
      </c>
      <c r="Q705" s="39" t="n">
        <f aca="false">M705-N705-O705-P705</f>
        <v>960231.336505728</v>
      </c>
      <c r="R705" s="39" t="n">
        <f aca="false">'Assumptions &amp; Data'!L839*'Assumptions &amp; Data'!M839</f>
        <v>393540</v>
      </c>
      <c r="S705" s="37" t="n">
        <f aca="false">'Assumptions &amp; Data'!Q839</f>
        <v>267000</v>
      </c>
      <c r="T705" s="37" t="n">
        <f aca="false">'Assumptions &amp; Data'!R839</f>
        <v>142349</v>
      </c>
      <c r="U705" s="37" t="n">
        <f aca="false">'Assumptions &amp; Data'!S839</f>
        <v>121447</v>
      </c>
      <c r="V705" s="39" t="n">
        <f aca="false">Q705-R705-S705-T705-U705</f>
        <v>35895.3365057278</v>
      </c>
      <c r="W705" s="39" t="n">
        <f aca="false">DAY(EOMONTH(C705,0))</f>
        <v>31</v>
      </c>
      <c r="X705" s="40" t="n">
        <f aca="false">E705/W705</f>
        <v>667.354838709677</v>
      </c>
      <c r="Y705" s="39" t="n">
        <f aca="false">R705+S705+T705+U705</f>
        <v>924336</v>
      </c>
    </row>
    <row r="706" customFormat="false" ht="15" hidden="false" customHeight="false" outlineLevel="0" collapsed="false">
      <c r="A706" s="37" t="str">
        <f aca="false">'Assumptions &amp; Data'!A840</f>
        <v>SM0636</v>
      </c>
      <c r="B706" s="37" t="str">
        <f aca="false">'Assumptions &amp; Data'!B840</f>
        <v>DS053</v>
      </c>
      <c r="C706" s="38" t="n">
        <f aca="false">'Assumptions &amp; Data'!C840</f>
        <v>46266</v>
      </c>
      <c r="D706" s="39" t="str">
        <f aca="false">INDEX('Assumptions &amp; Data'!$B$142:$B$201,MATCH(B706,'Assumptions &amp; Data'!$A$142:$A$201,0))</f>
        <v>Pune</v>
      </c>
      <c r="E706" s="37" t="n">
        <f aca="false">'Assumptions &amp; Data'!D840</f>
        <v>20092</v>
      </c>
      <c r="F706" s="39" t="n">
        <f aca="false">E706*'Assumptions &amp; Data'!E840</f>
        <v>12380690.4</v>
      </c>
      <c r="G706" s="39" t="n">
        <f aca="false">F706*'Assumptions &amp; Data'!F840</f>
        <v>693318.6624</v>
      </c>
      <c r="H706" s="39" t="n">
        <f aca="false">F706-G706</f>
        <v>11687371.7376</v>
      </c>
      <c r="I706" s="39" t="n">
        <f aca="false">H706*'Assumptions &amp; Data'!G840</f>
        <v>1998540.5671296</v>
      </c>
      <c r="J706" s="39" t="n">
        <f aca="false">E706*'Assumptions &amp; Data'!H840</f>
        <v>227843.28</v>
      </c>
      <c r="K706" s="39" t="n">
        <f aca="false">H706*'Assumptions &amp; Data'!I840</f>
        <v>300365.45365632</v>
      </c>
      <c r="L706" s="39" t="n">
        <f aca="false">H706*'Assumptions &amp; Data'!J840</f>
        <v>451132.54907136</v>
      </c>
      <c r="M706" s="39" t="n">
        <f aca="false">I706+J706+K706-L706</f>
        <v>2075616.75171456</v>
      </c>
      <c r="N706" s="39" t="n">
        <f aca="false">E706*'Assumptions &amp; Data'!N840</f>
        <v>824173.84</v>
      </c>
      <c r="O706" s="39" t="n">
        <f aca="false">E706*'Assumptions &amp; Data'!O840</f>
        <v>198308.04</v>
      </c>
      <c r="P706" s="39" t="n">
        <f aca="false">H706*'Assumptions &amp; Data'!P840</f>
        <v>121548.66607104</v>
      </c>
      <c r="Q706" s="39" t="n">
        <f aca="false">M706-N706-O706-P706</f>
        <v>931586.20564352</v>
      </c>
      <c r="R706" s="39" t="n">
        <f aca="false">'Assumptions &amp; Data'!L840*'Assumptions &amp; Data'!M840</f>
        <v>393900</v>
      </c>
      <c r="S706" s="37" t="n">
        <f aca="false">'Assumptions &amp; Data'!Q840</f>
        <v>267000</v>
      </c>
      <c r="T706" s="37" t="n">
        <f aca="false">'Assumptions &amp; Data'!R840</f>
        <v>141851</v>
      </c>
      <c r="U706" s="37" t="n">
        <f aca="false">'Assumptions &amp; Data'!S840</f>
        <v>103669</v>
      </c>
      <c r="V706" s="39" t="n">
        <f aca="false">Q706-R706-S706-T706-U706</f>
        <v>25166.2056435201</v>
      </c>
      <c r="W706" s="39" t="n">
        <f aca="false">DAY(EOMONTH(C706,0))</f>
        <v>30</v>
      </c>
      <c r="X706" s="40" t="n">
        <f aca="false">E706/W706</f>
        <v>669.733333333333</v>
      </c>
      <c r="Y706" s="39" t="n">
        <f aca="false">R706+S706+T706+U706</f>
        <v>906420</v>
      </c>
    </row>
    <row r="707" customFormat="false" ht="15" hidden="false" customHeight="false" outlineLevel="0" collapsed="false">
      <c r="A707" s="37" t="str">
        <f aca="false">'Assumptions &amp; Data'!A841</f>
        <v>SM0637</v>
      </c>
      <c r="B707" s="37" t="str">
        <f aca="false">'Assumptions &amp; Data'!B841</f>
        <v>DS054</v>
      </c>
      <c r="C707" s="38" t="n">
        <f aca="false">'Assumptions &amp; Data'!C841</f>
        <v>45931</v>
      </c>
      <c r="D707" s="39" t="str">
        <f aca="false">INDEX('Assumptions &amp; Data'!$B$142:$B$201,MATCH(B707,'Assumptions &amp; Data'!$A$142:$A$201,0))</f>
        <v>Pune</v>
      </c>
      <c r="E707" s="37" t="n">
        <f aca="false">'Assumptions &amp; Data'!D841</f>
        <v>1477</v>
      </c>
      <c r="F707" s="39" t="n">
        <f aca="false">E707*'Assumptions &amp; Data'!E841</f>
        <v>926669.8</v>
      </c>
      <c r="G707" s="39" t="n">
        <f aca="false">F707*'Assumptions &amp; Data'!F841</f>
        <v>81361.60844</v>
      </c>
      <c r="H707" s="39" t="n">
        <f aca="false">F707-G707</f>
        <v>845308.19156</v>
      </c>
      <c r="I707" s="39" t="n">
        <f aca="false">H707*'Assumptions &amp; Data'!G841</f>
        <v>145223.947310008</v>
      </c>
      <c r="J707" s="39" t="n">
        <f aca="false">E707*'Assumptions &amp; Data'!H841</f>
        <v>18521.58</v>
      </c>
      <c r="K707" s="39" t="n">
        <f aca="false">H707*'Assumptions &amp; Data'!I841</f>
        <v>13947.58516074</v>
      </c>
      <c r="L707" s="39" t="n">
        <f aca="false">H707*'Assumptions &amp; Data'!J841</f>
        <v>33727.796843244</v>
      </c>
      <c r="M707" s="39" t="n">
        <f aca="false">I707+J707+K707-L707</f>
        <v>143965.315627504</v>
      </c>
      <c r="N707" s="39" t="n">
        <f aca="false">E707*'Assumptions &amp; Data'!N841</f>
        <v>65623.11</v>
      </c>
      <c r="O707" s="39" t="n">
        <f aca="false">E707*'Assumptions &amp; Data'!O841</f>
        <v>14888.16</v>
      </c>
      <c r="P707" s="39" t="n">
        <f aca="false">H707*'Assumptions &amp; Data'!P841</f>
        <v>8453.0819156</v>
      </c>
      <c r="Q707" s="39" t="n">
        <f aca="false">M707-N707-O707-P707</f>
        <v>55000.963711904</v>
      </c>
      <c r="R707" s="39" t="n">
        <f aca="false">'Assumptions &amp; Data'!L841*'Assumptions &amp; Data'!M841</f>
        <v>312000</v>
      </c>
      <c r="S707" s="37" t="n">
        <f aca="false">'Assumptions &amp; Data'!Q841</f>
        <v>404000</v>
      </c>
      <c r="T707" s="37" t="n">
        <f aca="false">'Assumptions &amp; Data'!R841</f>
        <v>163003</v>
      </c>
      <c r="U707" s="37" t="n">
        <f aca="false">'Assumptions &amp; Data'!S841</f>
        <v>28785</v>
      </c>
      <c r="V707" s="39" t="n">
        <f aca="false">Q707-R707-S707-T707-U707</f>
        <v>-852787.036288096</v>
      </c>
      <c r="W707" s="39" t="n">
        <f aca="false">DAY(EOMONTH(C707,0))</f>
        <v>31</v>
      </c>
      <c r="X707" s="40" t="n">
        <f aca="false">E707/W707</f>
        <v>47.6451612903226</v>
      </c>
      <c r="Y707" s="39" t="n">
        <f aca="false">R707+S707+T707+U707</f>
        <v>907788</v>
      </c>
    </row>
    <row r="708" customFormat="false" ht="15" hidden="false" customHeight="false" outlineLevel="0" collapsed="false">
      <c r="A708" s="37" t="str">
        <f aca="false">'Assumptions &amp; Data'!A842</f>
        <v>SM0638</v>
      </c>
      <c r="B708" s="37" t="str">
        <f aca="false">'Assumptions &amp; Data'!B842</f>
        <v>DS054</v>
      </c>
      <c r="C708" s="38" t="n">
        <f aca="false">'Assumptions &amp; Data'!C842</f>
        <v>45962</v>
      </c>
      <c r="D708" s="39" t="str">
        <f aca="false">INDEX('Assumptions &amp; Data'!$B$142:$B$201,MATCH(B708,'Assumptions &amp; Data'!$A$142:$A$201,0))</f>
        <v>Pune</v>
      </c>
      <c r="E708" s="37" t="n">
        <f aca="false">'Assumptions &amp; Data'!D842</f>
        <v>1496</v>
      </c>
      <c r="F708" s="39" t="n">
        <f aca="false">E708*'Assumptions &amp; Data'!E842</f>
        <v>936795.2</v>
      </c>
      <c r="G708" s="39" t="n">
        <f aca="false">F708*'Assumptions &amp; Data'!F842</f>
        <v>85716.7608</v>
      </c>
      <c r="H708" s="39" t="n">
        <f aca="false">F708-G708</f>
        <v>851078.4392</v>
      </c>
      <c r="I708" s="39" t="n">
        <f aca="false">H708*'Assumptions &amp; Data'!G842</f>
        <v>142044.99150248</v>
      </c>
      <c r="J708" s="39" t="n">
        <f aca="false">E708*'Assumptions &amp; Data'!H842</f>
        <v>19732.24</v>
      </c>
      <c r="K708" s="39" t="n">
        <f aca="false">H708*'Assumptions &amp; Data'!I842</f>
        <v>14808.76484208</v>
      </c>
      <c r="L708" s="39" t="n">
        <f aca="false">H708*'Assumptions &amp; Data'!J842</f>
        <v>33532.49050448</v>
      </c>
      <c r="M708" s="39" t="n">
        <f aca="false">I708+J708+K708-L708</f>
        <v>143053.50584008</v>
      </c>
      <c r="N708" s="39" t="n">
        <f aca="false">E708*'Assumptions &amp; Data'!N842</f>
        <v>66736.56</v>
      </c>
      <c r="O708" s="39" t="n">
        <f aca="false">E708*'Assumptions &amp; Data'!O842</f>
        <v>14974.96</v>
      </c>
      <c r="P708" s="39" t="n">
        <f aca="false">H708*'Assumptions &amp; Data'!P842</f>
        <v>8255.46086024</v>
      </c>
      <c r="Q708" s="39" t="n">
        <f aca="false">M708-N708-O708-P708</f>
        <v>53086.52497984</v>
      </c>
      <c r="R708" s="39" t="n">
        <f aca="false">'Assumptions &amp; Data'!L842*'Assumptions &amp; Data'!M842</f>
        <v>312288</v>
      </c>
      <c r="S708" s="37" t="n">
        <f aca="false">'Assumptions &amp; Data'!Q842</f>
        <v>404000</v>
      </c>
      <c r="T708" s="37" t="n">
        <f aca="false">'Assumptions &amp; Data'!R842</f>
        <v>165368</v>
      </c>
      <c r="U708" s="37" t="n">
        <f aca="false">'Assumptions &amp; Data'!S842</f>
        <v>28837</v>
      </c>
      <c r="V708" s="39" t="n">
        <f aca="false">Q708-R708-S708-T708-U708</f>
        <v>-857406.47502016</v>
      </c>
      <c r="W708" s="39" t="n">
        <f aca="false">DAY(EOMONTH(C708,0))</f>
        <v>30</v>
      </c>
      <c r="X708" s="40" t="n">
        <f aca="false">E708/W708</f>
        <v>49.8666666666667</v>
      </c>
      <c r="Y708" s="39" t="n">
        <f aca="false">R708+S708+T708+U708</f>
        <v>910493</v>
      </c>
    </row>
    <row r="709" customFormat="false" ht="15" hidden="false" customHeight="false" outlineLevel="0" collapsed="false">
      <c r="A709" s="37" t="str">
        <f aca="false">'Assumptions &amp; Data'!A843</f>
        <v>SM0639</v>
      </c>
      <c r="B709" s="37" t="str">
        <f aca="false">'Assumptions &amp; Data'!B843</f>
        <v>DS054</v>
      </c>
      <c r="C709" s="38" t="n">
        <f aca="false">'Assumptions &amp; Data'!C843</f>
        <v>45992</v>
      </c>
      <c r="D709" s="39" t="str">
        <f aca="false">INDEX('Assumptions &amp; Data'!$B$142:$B$201,MATCH(B709,'Assumptions &amp; Data'!$A$142:$A$201,0))</f>
        <v>Pune</v>
      </c>
      <c r="E709" s="37" t="n">
        <f aca="false">'Assumptions &amp; Data'!D843</f>
        <v>1557</v>
      </c>
      <c r="F709" s="39" t="n">
        <f aca="false">E709*'Assumptions &amp; Data'!E843</f>
        <v>948368.7</v>
      </c>
      <c r="G709" s="39" t="n">
        <f aca="false">F709*'Assumptions &amp; Data'!F843</f>
        <v>83835.79308</v>
      </c>
      <c r="H709" s="39" t="n">
        <f aca="false">F709-G709</f>
        <v>864532.90692</v>
      </c>
      <c r="I709" s="39" t="n">
        <f aca="false">H709*'Assumptions &amp; Data'!G843</f>
        <v>144117.635583564</v>
      </c>
      <c r="J709" s="39" t="n">
        <f aca="false">E709*'Assumptions &amp; Data'!H843</f>
        <v>20412.27</v>
      </c>
      <c r="K709" s="39" t="n">
        <f aca="false">H709*'Assumptions &amp; Data'!I843</f>
        <v>14091.886382796</v>
      </c>
      <c r="L709" s="39" t="n">
        <f aca="false">H709*'Assumptions &amp; Data'!J843</f>
        <v>33976.143241956</v>
      </c>
      <c r="M709" s="39" t="n">
        <f aca="false">I709+J709+K709-L709</f>
        <v>144645.648724404</v>
      </c>
      <c r="N709" s="39" t="n">
        <f aca="false">E709*'Assumptions &amp; Data'!N843</f>
        <v>69706.89</v>
      </c>
      <c r="O709" s="39" t="n">
        <f aca="false">E709*'Assumptions &amp; Data'!O843</f>
        <v>15367.59</v>
      </c>
      <c r="P709" s="39" t="n">
        <f aca="false">H709*'Assumptions &amp; Data'!P843</f>
        <v>8904.688941276</v>
      </c>
      <c r="Q709" s="39" t="n">
        <f aca="false">M709-N709-O709-P709</f>
        <v>50666.479783128</v>
      </c>
      <c r="R709" s="39" t="n">
        <f aca="false">'Assumptions &amp; Data'!L843*'Assumptions &amp; Data'!M843</f>
        <v>312560</v>
      </c>
      <c r="S709" s="37" t="n">
        <f aca="false">'Assumptions &amp; Data'!Q843</f>
        <v>404000</v>
      </c>
      <c r="T709" s="37" t="n">
        <f aca="false">'Assumptions &amp; Data'!R843</f>
        <v>154510</v>
      </c>
      <c r="U709" s="37" t="n">
        <f aca="false">'Assumptions &amp; Data'!S843</f>
        <v>29326</v>
      </c>
      <c r="V709" s="39" t="n">
        <f aca="false">Q709-R709-S709-T709-U709</f>
        <v>-849729.520216872</v>
      </c>
      <c r="W709" s="39" t="n">
        <f aca="false">DAY(EOMONTH(C709,0))</f>
        <v>31</v>
      </c>
      <c r="X709" s="40" t="n">
        <f aca="false">E709/W709</f>
        <v>50.2258064516129</v>
      </c>
      <c r="Y709" s="39" t="n">
        <f aca="false">R709+S709+T709+U709</f>
        <v>900396</v>
      </c>
    </row>
    <row r="710" customFormat="false" ht="15" hidden="false" customHeight="false" outlineLevel="0" collapsed="false">
      <c r="A710" s="37" t="str">
        <f aca="false">'Assumptions &amp; Data'!A844</f>
        <v>SM0640</v>
      </c>
      <c r="B710" s="37" t="str">
        <f aca="false">'Assumptions &amp; Data'!B844</f>
        <v>DS054</v>
      </c>
      <c r="C710" s="38" t="n">
        <f aca="false">'Assumptions &amp; Data'!C844</f>
        <v>46023</v>
      </c>
      <c r="D710" s="39" t="str">
        <f aca="false">INDEX('Assumptions &amp; Data'!$B$142:$B$201,MATCH(B710,'Assumptions &amp; Data'!$A$142:$A$201,0))</f>
        <v>Pune</v>
      </c>
      <c r="E710" s="37" t="n">
        <f aca="false">'Assumptions &amp; Data'!D844</f>
        <v>2676</v>
      </c>
      <c r="F710" s="39" t="n">
        <f aca="false">E710*'Assumptions &amp; Data'!E844</f>
        <v>1653500.4</v>
      </c>
      <c r="G710" s="39" t="n">
        <f aca="false">F710*'Assumptions &amp; Data'!F844</f>
        <v>142035.68436</v>
      </c>
      <c r="H710" s="39" t="n">
        <f aca="false">F710-G710</f>
        <v>1511464.71564</v>
      </c>
      <c r="I710" s="39" t="n">
        <f aca="false">H710*'Assumptions &amp; Data'!G844</f>
        <v>255588.683414724</v>
      </c>
      <c r="J710" s="39" t="n">
        <f aca="false">E710*'Assumptions &amp; Data'!H844</f>
        <v>34466.88</v>
      </c>
      <c r="K710" s="39" t="n">
        <f aca="false">H710*'Assumptions &amp; Data'!I844</f>
        <v>26148.339580572</v>
      </c>
      <c r="L710" s="39" t="n">
        <f aca="false">H710*'Assumptions &amp; Data'!J844</f>
        <v>59551.709796216</v>
      </c>
      <c r="M710" s="39" t="n">
        <f aca="false">I710+J710+K710-L710</f>
        <v>256652.19319908</v>
      </c>
      <c r="N710" s="39" t="n">
        <f aca="false">E710*'Assumptions &amp; Data'!N844</f>
        <v>117075</v>
      </c>
      <c r="O710" s="39" t="n">
        <f aca="false">E710*'Assumptions &amp; Data'!O844</f>
        <v>26091</v>
      </c>
      <c r="P710" s="39" t="n">
        <f aca="false">H710*'Assumptions &amp; Data'!P844</f>
        <v>14812.354213272</v>
      </c>
      <c r="Q710" s="39" t="n">
        <f aca="false">M710-N710-O710-P710</f>
        <v>98673.838985808</v>
      </c>
      <c r="R710" s="39" t="n">
        <f aca="false">'Assumptions &amp; Data'!L844*'Assumptions &amp; Data'!M844</f>
        <v>312848</v>
      </c>
      <c r="S710" s="37" t="n">
        <f aca="false">'Assumptions &amp; Data'!Q844</f>
        <v>404000</v>
      </c>
      <c r="T710" s="37" t="n">
        <f aca="false">'Assumptions &amp; Data'!R844</f>
        <v>165833</v>
      </c>
      <c r="U710" s="37" t="n">
        <f aca="false">'Assumptions &amp; Data'!S844</f>
        <v>45854</v>
      </c>
      <c r="V710" s="39" t="n">
        <f aca="false">Q710-R710-S710-T710-U710</f>
        <v>-829861.161014192</v>
      </c>
      <c r="W710" s="39" t="n">
        <f aca="false">DAY(EOMONTH(C710,0))</f>
        <v>31</v>
      </c>
      <c r="X710" s="40" t="n">
        <f aca="false">E710/W710</f>
        <v>86.3225806451613</v>
      </c>
      <c r="Y710" s="39" t="n">
        <f aca="false">R710+S710+T710+U710</f>
        <v>928535</v>
      </c>
    </row>
    <row r="711" customFormat="false" ht="15" hidden="false" customHeight="false" outlineLevel="0" collapsed="false">
      <c r="A711" s="37" t="str">
        <f aca="false">'Assumptions &amp; Data'!A845</f>
        <v>SM0641</v>
      </c>
      <c r="B711" s="37" t="str">
        <f aca="false">'Assumptions &amp; Data'!B845</f>
        <v>DS054</v>
      </c>
      <c r="C711" s="38" t="n">
        <f aca="false">'Assumptions &amp; Data'!C845</f>
        <v>46054</v>
      </c>
      <c r="D711" s="39" t="str">
        <f aca="false">INDEX('Assumptions &amp; Data'!$B$142:$B$201,MATCH(B711,'Assumptions &amp; Data'!$A$142:$A$201,0))</f>
        <v>Pune</v>
      </c>
      <c r="E711" s="37" t="n">
        <f aca="false">'Assumptions &amp; Data'!D845</f>
        <v>3459</v>
      </c>
      <c r="F711" s="39" t="n">
        <f aca="false">E711*'Assumptions &amp; Data'!E845</f>
        <v>2121404.7</v>
      </c>
      <c r="G711" s="39" t="n">
        <f aca="false">F711*'Assumptions &amp; Data'!F845</f>
        <v>179258.69715</v>
      </c>
      <c r="H711" s="39" t="n">
        <f aca="false">F711-G711</f>
        <v>1942146.00285</v>
      </c>
      <c r="I711" s="39" t="n">
        <f aca="false">H711*'Assumptions &amp; Data'!G845</f>
        <v>330941.67888564</v>
      </c>
      <c r="J711" s="39" t="n">
        <f aca="false">E711*'Assumptions &amp; Data'!H845</f>
        <v>44828.64</v>
      </c>
      <c r="K711" s="39" t="n">
        <f aca="false">H711*'Assumptions &amp; Data'!I845</f>
        <v>32045.409047025</v>
      </c>
      <c r="L711" s="39" t="n">
        <f aca="false">H711*'Assumptions &amp; Data'!J845</f>
        <v>74384.191909155</v>
      </c>
      <c r="M711" s="39" t="n">
        <f aca="false">I711+J711+K711-L711</f>
        <v>333431.53602351</v>
      </c>
      <c r="N711" s="39" t="n">
        <f aca="false">E711*'Assumptions &amp; Data'!N845</f>
        <v>153925.5</v>
      </c>
      <c r="O711" s="39" t="n">
        <f aca="false">E711*'Assumptions &amp; Data'!O845</f>
        <v>34382.46</v>
      </c>
      <c r="P711" s="39" t="n">
        <f aca="false">H711*'Assumptions &amp; Data'!P845</f>
        <v>19033.03082793</v>
      </c>
      <c r="Q711" s="39" t="n">
        <f aca="false">M711-N711-O711-P711</f>
        <v>126090.54519558</v>
      </c>
      <c r="R711" s="39" t="n">
        <f aca="false">'Assumptions &amp; Data'!L845*'Assumptions &amp; Data'!M845</f>
        <v>313136</v>
      </c>
      <c r="S711" s="37" t="n">
        <f aca="false">'Assumptions &amp; Data'!Q845</f>
        <v>404000</v>
      </c>
      <c r="T711" s="37" t="n">
        <f aca="false">'Assumptions &amp; Data'!R845</f>
        <v>164490</v>
      </c>
      <c r="U711" s="37" t="n">
        <f aca="false">'Assumptions &amp; Data'!S845</f>
        <v>53105</v>
      </c>
      <c r="V711" s="39" t="n">
        <f aca="false">Q711-R711-S711-T711-U711</f>
        <v>-808640.45480442</v>
      </c>
      <c r="W711" s="39" t="n">
        <f aca="false">DAY(EOMONTH(C711,0))</f>
        <v>28</v>
      </c>
      <c r="X711" s="40" t="n">
        <f aca="false">E711/W711</f>
        <v>123.535714285714</v>
      </c>
      <c r="Y711" s="39" t="n">
        <f aca="false">R711+S711+T711+U711</f>
        <v>934731</v>
      </c>
    </row>
    <row r="712" customFormat="false" ht="15" hidden="false" customHeight="false" outlineLevel="0" collapsed="false">
      <c r="A712" s="37" t="str">
        <f aca="false">'Assumptions &amp; Data'!A846</f>
        <v>SM0642</v>
      </c>
      <c r="B712" s="37" t="str">
        <f aca="false">'Assumptions &amp; Data'!B846</f>
        <v>DS054</v>
      </c>
      <c r="C712" s="38" t="n">
        <f aca="false">'Assumptions &amp; Data'!C846</f>
        <v>46082</v>
      </c>
      <c r="D712" s="39" t="str">
        <f aca="false">INDEX('Assumptions &amp; Data'!$B$142:$B$201,MATCH(B712,'Assumptions &amp; Data'!$A$142:$A$201,0))</f>
        <v>Pune</v>
      </c>
      <c r="E712" s="37" t="n">
        <f aca="false">'Assumptions &amp; Data'!D846</f>
        <v>5063</v>
      </c>
      <c r="F712" s="39" t="n">
        <f aca="false">E712*'Assumptions &amp; Data'!E846</f>
        <v>3158805.7</v>
      </c>
      <c r="G712" s="39" t="n">
        <f aca="false">F712*'Assumptions &amp; Data'!F846</f>
        <v>254283.85885</v>
      </c>
      <c r="H712" s="39" t="n">
        <f aca="false">F712-G712</f>
        <v>2904521.84115</v>
      </c>
      <c r="I712" s="39" t="n">
        <f aca="false">H712*'Assumptions &amp; Data'!G846</f>
        <v>483021.982183245</v>
      </c>
      <c r="J712" s="39" t="n">
        <f aca="false">E712*'Assumptions &amp; Data'!H846</f>
        <v>62679.94</v>
      </c>
      <c r="K712" s="39" t="n">
        <f aca="false">H712*'Assumptions &amp; Data'!I846</f>
        <v>53443.20187716</v>
      </c>
      <c r="L712" s="39" t="n">
        <f aca="false">H712*'Assumptions &amp; Data'!J846</f>
        <v>111243.186516045</v>
      </c>
      <c r="M712" s="39" t="n">
        <f aca="false">I712+J712+K712-L712</f>
        <v>487901.93754436</v>
      </c>
      <c r="N712" s="39" t="n">
        <f aca="false">E712*'Assumptions &amp; Data'!N846</f>
        <v>216341.99</v>
      </c>
      <c r="O712" s="39" t="n">
        <f aca="false">E712*'Assumptions &amp; Data'!O846</f>
        <v>50275.59</v>
      </c>
      <c r="P712" s="39" t="n">
        <f aca="false">H712*'Assumptions &amp; Data'!P846</f>
        <v>27883.40967504</v>
      </c>
      <c r="Q712" s="39" t="n">
        <f aca="false">M712-N712-O712-P712</f>
        <v>193400.94786932</v>
      </c>
      <c r="R712" s="39" t="n">
        <f aca="false">'Assumptions &amp; Data'!L846*'Assumptions &amp; Data'!M846</f>
        <v>313424</v>
      </c>
      <c r="S712" s="37" t="n">
        <f aca="false">'Assumptions &amp; Data'!Q846</f>
        <v>404000</v>
      </c>
      <c r="T712" s="37" t="n">
        <f aca="false">'Assumptions &amp; Data'!R846</f>
        <v>171347</v>
      </c>
      <c r="U712" s="37" t="n">
        <f aca="false">'Assumptions &amp; Data'!S846</f>
        <v>73459</v>
      </c>
      <c r="V712" s="39" t="n">
        <f aca="false">Q712-R712-S712-T712-U712</f>
        <v>-768829.05213068</v>
      </c>
      <c r="W712" s="39" t="n">
        <f aca="false">DAY(EOMONTH(C712,0))</f>
        <v>31</v>
      </c>
      <c r="X712" s="40" t="n">
        <f aca="false">E712/W712</f>
        <v>163.322580645161</v>
      </c>
      <c r="Y712" s="39" t="n">
        <f aca="false">R712+S712+T712+U712</f>
        <v>962230</v>
      </c>
    </row>
    <row r="713" customFormat="false" ht="15" hidden="false" customHeight="false" outlineLevel="0" collapsed="false">
      <c r="A713" s="37" t="str">
        <f aca="false">'Assumptions &amp; Data'!A847</f>
        <v>SM0643</v>
      </c>
      <c r="B713" s="37" t="str">
        <f aca="false">'Assumptions &amp; Data'!B847</f>
        <v>DS054</v>
      </c>
      <c r="C713" s="38" t="n">
        <f aca="false">'Assumptions &amp; Data'!C847</f>
        <v>46113</v>
      </c>
      <c r="D713" s="39" t="str">
        <f aca="false">INDEX('Assumptions &amp; Data'!$B$142:$B$201,MATCH(B713,'Assumptions &amp; Data'!$A$142:$A$201,0))</f>
        <v>Pune</v>
      </c>
      <c r="E713" s="37" t="n">
        <f aca="false">'Assumptions &amp; Data'!D847</f>
        <v>5902</v>
      </c>
      <c r="F713" s="39" t="n">
        <f aca="false">E713*'Assumptions &amp; Data'!E847</f>
        <v>3661600.8</v>
      </c>
      <c r="G713" s="39" t="n">
        <f aca="false">F713*'Assumptions &amp; Data'!F847</f>
        <v>292928.064</v>
      </c>
      <c r="H713" s="39" t="n">
        <f aca="false">F713-G713</f>
        <v>3368672.736</v>
      </c>
      <c r="I713" s="39" t="n">
        <f aca="false">H713*'Assumptions &amp; Data'!G847</f>
        <v>572000.6305728</v>
      </c>
      <c r="J713" s="39" t="n">
        <f aca="false">E713*'Assumptions &amp; Data'!H847</f>
        <v>72594.6</v>
      </c>
      <c r="K713" s="39" t="n">
        <f aca="false">H713*'Assumptions &amp; Data'!I847</f>
        <v>58951.77288</v>
      </c>
      <c r="L713" s="39" t="n">
        <f aca="false">H713*'Assumptions &amp; Data'!J847</f>
        <v>125988.3603264</v>
      </c>
      <c r="M713" s="39" t="n">
        <f aca="false">I713+J713+K713-L713</f>
        <v>577558.6431264</v>
      </c>
      <c r="N713" s="39" t="n">
        <f aca="false">E713*'Assumptions &amp; Data'!N847</f>
        <v>256855.04</v>
      </c>
      <c r="O713" s="39" t="n">
        <f aca="false">E713*'Assumptions &amp; Data'!O847</f>
        <v>56718.22</v>
      </c>
      <c r="P713" s="39" t="n">
        <f aca="false">H713*'Assumptions &amp; Data'!P847</f>
        <v>34697.3291808</v>
      </c>
      <c r="Q713" s="39" t="n">
        <f aca="false">M713-N713-O713-P713</f>
        <v>229288.0539456</v>
      </c>
      <c r="R713" s="39" t="n">
        <f aca="false">'Assumptions &amp; Data'!L847*'Assumptions &amp; Data'!M847</f>
        <v>313696</v>
      </c>
      <c r="S713" s="37" t="n">
        <f aca="false">'Assumptions &amp; Data'!Q847</f>
        <v>404000</v>
      </c>
      <c r="T713" s="37" t="n">
        <f aca="false">'Assumptions &amp; Data'!R847</f>
        <v>162156</v>
      </c>
      <c r="U713" s="37" t="n">
        <f aca="false">'Assumptions &amp; Data'!S847</f>
        <v>76086</v>
      </c>
      <c r="V713" s="39" t="n">
        <f aca="false">Q713-R713-S713-T713-U713</f>
        <v>-726649.9460544</v>
      </c>
      <c r="W713" s="39" t="n">
        <f aca="false">DAY(EOMONTH(C713,0))</f>
        <v>30</v>
      </c>
      <c r="X713" s="40" t="n">
        <f aca="false">E713/W713</f>
        <v>196.733333333333</v>
      </c>
      <c r="Y713" s="39" t="n">
        <f aca="false">R713+S713+T713+U713</f>
        <v>955938</v>
      </c>
    </row>
    <row r="714" customFormat="false" ht="15" hidden="false" customHeight="false" outlineLevel="0" collapsed="false">
      <c r="A714" s="37" t="str">
        <f aca="false">'Assumptions &amp; Data'!A848</f>
        <v>SM0644</v>
      </c>
      <c r="B714" s="37" t="str">
        <f aca="false">'Assumptions &amp; Data'!B848</f>
        <v>DS054</v>
      </c>
      <c r="C714" s="38" t="n">
        <f aca="false">'Assumptions &amp; Data'!C848</f>
        <v>46143</v>
      </c>
      <c r="D714" s="39" t="str">
        <f aca="false">INDEX('Assumptions &amp; Data'!$B$142:$B$201,MATCH(B714,'Assumptions &amp; Data'!$A$142:$A$201,0))</f>
        <v>Pune</v>
      </c>
      <c r="E714" s="37" t="n">
        <f aca="false">'Assumptions &amp; Data'!D848</f>
        <v>7701</v>
      </c>
      <c r="F714" s="39" t="n">
        <f aca="false">E714*'Assumptions &amp; Data'!E848</f>
        <v>4723793.4</v>
      </c>
      <c r="G714" s="39" t="n">
        <f aca="false">F714*'Assumptions &amp; Data'!F848</f>
        <v>337751.2281</v>
      </c>
      <c r="H714" s="39" t="n">
        <f aca="false">F714-G714</f>
        <v>4386042.1719</v>
      </c>
      <c r="I714" s="39" t="n">
        <f aca="false">H714*'Assumptions &amp; Data'!G848</f>
        <v>735977.87644482</v>
      </c>
      <c r="J714" s="39" t="n">
        <f aca="false">E714*'Assumptions &amp; Data'!H848</f>
        <v>102346.29</v>
      </c>
      <c r="K714" s="39" t="n">
        <f aca="false">H714*'Assumptions &amp; Data'!I848</f>
        <v>85089.21813486</v>
      </c>
      <c r="L714" s="39" t="n">
        <f aca="false">H714*'Assumptions &amp; Data'!J848</f>
        <v>161406.35192592</v>
      </c>
      <c r="M714" s="39" t="n">
        <f aca="false">I714+J714+K714-L714</f>
        <v>762007.03265376</v>
      </c>
      <c r="N714" s="39" t="n">
        <f aca="false">E714*'Assumptions &amp; Data'!N848</f>
        <v>323210.97</v>
      </c>
      <c r="O714" s="39" t="n">
        <f aca="false">E714*'Assumptions &amp; Data'!O848</f>
        <v>75623.82</v>
      </c>
      <c r="P714" s="39" t="n">
        <f aca="false">H714*'Assumptions &amp; Data'!P848</f>
        <v>44737.63015338</v>
      </c>
      <c r="Q714" s="39" t="n">
        <f aca="false">M714-N714-O714-P714</f>
        <v>318434.61250038</v>
      </c>
      <c r="R714" s="39" t="n">
        <f aca="false">'Assumptions &amp; Data'!L848*'Assumptions &amp; Data'!M848</f>
        <v>313984</v>
      </c>
      <c r="S714" s="37" t="n">
        <f aca="false">'Assumptions &amp; Data'!Q848</f>
        <v>404000</v>
      </c>
      <c r="T714" s="37" t="n">
        <f aca="false">'Assumptions &amp; Data'!R848</f>
        <v>163278</v>
      </c>
      <c r="U714" s="37" t="n">
        <f aca="false">'Assumptions &amp; Data'!S848</f>
        <v>92620</v>
      </c>
      <c r="V714" s="39" t="n">
        <f aca="false">Q714-R714-S714-T714-U714</f>
        <v>-655447.38749962</v>
      </c>
      <c r="W714" s="39" t="n">
        <f aca="false">DAY(EOMONTH(C714,0))</f>
        <v>31</v>
      </c>
      <c r="X714" s="40" t="n">
        <f aca="false">E714/W714</f>
        <v>248.41935483871</v>
      </c>
      <c r="Y714" s="39" t="n">
        <f aca="false">R714+S714+T714+U714</f>
        <v>973882</v>
      </c>
    </row>
    <row r="715" customFormat="false" ht="15" hidden="false" customHeight="false" outlineLevel="0" collapsed="false">
      <c r="A715" s="37" t="str">
        <f aca="false">'Assumptions &amp; Data'!A849</f>
        <v>SM0645</v>
      </c>
      <c r="B715" s="37" t="str">
        <f aca="false">'Assumptions &amp; Data'!B849</f>
        <v>DS054</v>
      </c>
      <c r="C715" s="38" t="n">
        <f aca="false">'Assumptions &amp; Data'!C849</f>
        <v>46174</v>
      </c>
      <c r="D715" s="39" t="str">
        <f aca="false">INDEX('Assumptions &amp; Data'!$B$142:$B$201,MATCH(B715,'Assumptions &amp; Data'!$A$142:$A$201,0))</f>
        <v>Pune</v>
      </c>
      <c r="E715" s="37" t="n">
        <f aca="false">'Assumptions &amp; Data'!D849</f>
        <v>8495</v>
      </c>
      <c r="F715" s="39" t="n">
        <f aca="false">E715*'Assumptions &amp; Data'!E849</f>
        <v>5151368</v>
      </c>
      <c r="G715" s="39" t="n">
        <f aca="false">F715*'Assumptions &amp; Data'!F849</f>
        <v>373989.3168</v>
      </c>
      <c r="H715" s="39" t="n">
        <f aca="false">F715-G715</f>
        <v>4777378.6832</v>
      </c>
      <c r="I715" s="39" t="n">
        <f aca="false">H715*'Assumptions &amp; Data'!G849</f>
        <v>810721.16253904</v>
      </c>
      <c r="J715" s="39" t="n">
        <f aca="false">E715*'Assumptions &amp; Data'!H849</f>
        <v>113493.2</v>
      </c>
      <c r="K715" s="39" t="n">
        <f aca="false">H715*'Assumptions &amp; Data'!I849</f>
        <v>85515.07842928</v>
      </c>
      <c r="L715" s="39" t="n">
        <f aca="false">H715*'Assumptions &amp; Data'!J849</f>
        <v>170552.41899024</v>
      </c>
      <c r="M715" s="39" t="n">
        <f aca="false">I715+J715+K715-L715</f>
        <v>839177.02197808</v>
      </c>
      <c r="N715" s="39" t="n">
        <f aca="false">E715*'Assumptions &amp; Data'!N849</f>
        <v>364095.7</v>
      </c>
      <c r="O715" s="39" t="n">
        <f aca="false">E715*'Assumptions &amp; Data'!O849</f>
        <v>84610.2</v>
      </c>
      <c r="P715" s="39" t="n">
        <f aca="false">H715*'Assumptions &amp; Data'!P849</f>
        <v>45862.83535872</v>
      </c>
      <c r="Q715" s="39" t="n">
        <f aca="false">M715-N715-O715-P715</f>
        <v>344608.28661936</v>
      </c>
      <c r="R715" s="39" t="n">
        <f aca="false">'Assumptions &amp; Data'!L849*'Assumptions &amp; Data'!M849</f>
        <v>314272</v>
      </c>
      <c r="S715" s="37" t="n">
        <f aca="false">'Assumptions &amp; Data'!Q849</f>
        <v>404000</v>
      </c>
      <c r="T715" s="37" t="n">
        <f aca="false">'Assumptions &amp; Data'!R849</f>
        <v>164895</v>
      </c>
      <c r="U715" s="37" t="n">
        <f aca="false">'Assumptions &amp; Data'!S849</f>
        <v>93910</v>
      </c>
      <c r="V715" s="39" t="n">
        <f aca="false">Q715-R715-S715-T715-U715</f>
        <v>-632468.71338064</v>
      </c>
      <c r="W715" s="39" t="n">
        <f aca="false">DAY(EOMONTH(C715,0))</f>
        <v>30</v>
      </c>
      <c r="X715" s="40" t="n">
        <f aca="false">E715/W715</f>
        <v>283.166666666667</v>
      </c>
      <c r="Y715" s="39" t="n">
        <f aca="false">R715+S715+T715+U715</f>
        <v>977077</v>
      </c>
    </row>
    <row r="716" customFormat="false" ht="15" hidden="false" customHeight="false" outlineLevel="0" collapsed="false">
      <c r="A716" s="37" t="str">
        <f aca="false">'Assumptions &amp; Data'!A850</f>
        <v>SM0646</v>
      </c>
      <c r="B716" s="37" t="str">
        <f aca="false">'Assumptions &amp; Data'!B850</f>
        <v>DS054</v>
      </c>
      <c r="C716" s="38" t="n">
        <f aca="false">'Assumptions &amp; Data'!C850</f>
        <v>46204</v>
      </c>
      <c r="D716" s="39" t="str">
        <f aca="false">INDEX('Assumptions &amp; Data'!$B$142:$B$201,MATCH(B716,'Assumptions &amp; Data'!$A$142:$A$201,0))</f>
        <v>Pune</v>
      </c>
      <c r="E716" s="37" t="n">
        <f aca="false">'Assumptions &amp; Data'!D850</f>
        <v>8656</v>
      </c>
      <c r="F716" s="39" t="n">
        <f aca="false">E716*'Assumptions &amp; Data'!E850</f>
        <v>5355467.2</v>
      </c>
      <c r="G716" s="39" t="n">
        <f aca="false">F716*'Assumptions &amp; Data'!F850</f>
        <v>375953.79744</v>
      </c>
      <c r="H716" s="39" t="n">
        <f aca="false">F716-G716</f>
        <v>4979513.40256</v>
      </c>
      <c r="I716" s="39" t="n">
        <f aca="false">H716*'Assumptions &amp; Data'!G850</f>
        <v>861953.769983136</v>
      </c>
      <c r="J716" s="39" t="n">
        <f aca="false">E716*'Assumptions &amp; Data'!H850</f>
        <v>111662.4</v>
      </c>
      <c r="K716" s="39" t="n">
        <f aca="false">H716*'Assumptions &amp; Data'!I850</f>
        <v>98594.365370688</v>
      </c>
      <c r="L716" s="39" t="n">
        <f aca="false">H716*'Assumptions &amp; Data'!J850</f>
        <v>180258.385172672</v>
      </c>
      <c r="M716" s="39" t="n">
        <f aca="false">I716+J716+K716-L716</f>
        <v>891952.150181152</v>
      </c>
      <c r="N716" s="39" t="n">
        <f aca="false">E716*'Assumptions &amp; Data'!N850</f>
        <v>360868.64</v>
      </c>
      <c r="O716" s="39" t="n">
        <f aca="false">E716*'Assumptions &amp; Data'!O850</f>
        <v>84396</v>
      </c>
      <c r="P716" s="39" t="n">
        <f aca="false">H716*'Assumptions &amp; Data'!P850</f>
        <v>50791.036706112</v>
      </c>
      <c r="Q716" s="39" t="n">
        <f aca="false">M716-N716-O716-P716</f>
        <v>395896.47347504</v>
      </c>
      <c r="R716" s="39" t="n">
        <f aca="false">'Assumptions &amp; Data'!L850*'Assumptions &amp; Data'!M850</f>
        <v>314560</v>
      </c>
      <c r="S716" s="37" t="n">
        <f aca="false">'Assumptions &amp; Data'!Q850</f>
        <v>404000</v>
      </c>
      <c r="T716" s="37" t="n">
        <f aca="false">'Assumptions &amp; Data'!R850</f>
        <v>161740</v>
      </c>
      <c r="U716" s="37" t="n">
        <f aca="false">'Assumptions &amp; Data'!S850</f>
        <v>88778</v>
      </c>
      <c r="V716" s="39" t="n">
        <f aca="false">Q716-R716-S716-T716-U716</f>
        <v>-573181.52652496</v>
      </c>
      <c r="W716" s="39" t="n">
        <f aca="false">DAY(EOMONTH(C716,0))</f>
        <v>31</v>
      </c>
      <c r="X716" s="40" t="n">
        <f aca="false">E716/W716</f>
        <v>279.225806451613</v>
      </c>
      <c r="Y716" s="39" t="n">
        <f aca="false">R716+S716+T716+U716</f>
        <v>969078</v>
      </c>
    </row>
    <row r="717" customFormat="false" ht="15" hidden="false" customHeight="false" outlineLevel="0" collapsed="false">
      <c r="A717" s="37" t="str">
        <f aca="false">'Assumptions &amp; Data'!A851</f>
        <v>SM0647</v>
      </c>
      <c r="B717" s="37" t="str">
        <f aca="false">'Assumptions &amp; Data'!B851</f>
        <v>DS054</v>
      </c>
      <c r="C717" s="38" t="n">
        <f aca="false">'Assumptions &amp; Data'!C851</f>
        <v>46235</v>
      </c>
      <c r="D717" s="39" t="str">
        <f aca="false">INDEX('Assumptions &amp; Data'!$B$142:$B$201,MATCH(B717,'Assumptions &amp; Data'!$A$142:$A$201,0))</f>
        <v>Pune</v>
      </c>
      <c r="E717" s="37" t="n">
        <f aca="false">'Assumptions &amp; Data'!D851</f>
        <v>9053</v>
      </c>
      <c r="F717" s="39" t="n">
        <f aca="false">E717*'Assumptions &amp; Data'!E851</f>
        <v>5587511.6</v>
      </c>
      <c r="G717" s="39" t="n">
        <f aca="false">F717*'Assumptions &amp; Data'!F851</f>
        <v>384979.54924</v>
      </c>
      <c r="H717" s="39" t="n">
        <f aca="false">F717-G717</f>
        <v>5202532.05076</v>
      </c>
      <c r="I717" s="39" t="n">
        <f aca="false">H717*'Assumptions &amp; Data'!G851</f>
        <v>882869.689013972</v>
      </c>
      <c r="J717" s="39" t="n">
        <f aca="false">E717*'Assumptions &amp; Data'!H851</f>
        <v>117870.06</v>
      </c>
      <c r="K717" s="39" t="n">
        <f aca="false">H717*'Assumptions &amp; Data'!I851</f>
        <v>99368.362169516</v>
      </c>
      <c r="L717" s="39" t="n">
        <f aca="false">H717*'Assumptions &amp; Data'!J851</f>
        <v>177926.596135992</v>
      </c>
      <c r="M717" s="39" t="n">
        <f aca="false">I717+J717+K717-L717</f>
        <v>922181.515047496</v>
      </c>
      <c r="N717" s="39" t="n">
        <f aca="false">E717*'Assumptions &amp; Data'!N851</f>
        <v>382760.84</v>
      </c>
      <c r="O717" s="39" t="n">
        <f aca="false">E717*'Assumptions &amp; Data'!O851</f>
        <v>87814.1</v>
      </c>
      <c r="P717" s="39" t="n">
        <f aca="false">H717*'Assumptions &amp; Data'!P851</f>
        <v>52025.3205076</v>
      </c>
      <c r="Q717" s="39" t="n">
        <f aca="false">M717-N717-O717-P717</f>
        <v>399581.254539896</v>
      </c>
      <c r="R717" s="39" t="n">
        <f aca="false">'Assumptions &amp; Data'!L851*'Assumptions &amp; Data'!M851</f>
        <v>314832</v>
      </c>
      <c r="S717" s="37" t="n">
        <f aca="false">'Assumptions &amp; Data'!Q851</f>
        <v>404000</v>
      </c>
      <c r="T717" s="37" t="n">
        <f aca="false">'Assumptions &amp; Data'!R851</f>
        <v>152925</v>
      </c>
      <c r="U717" s="37" t="n">
        <f aca="false">'Assumptions &amp; Data'!S851</f>
        <v>86273</v>
      </c>
      <c r="V717" s="39" t="n">
        <f aca="false">Q717-R717-S717-T717-U717</f>
        <v>-558448.745460104</v>
      </c>
      <c r="W717" s="39" t="n">
        <f aca="false">DAY(EOMONTH(C717,0))</f>
        <v>31</v>
      </c>
      <c r="X717" s="40" t="n">
        <f aca="false">E717/W717</f>
        <v>292.032258064516</v>
      </c>
      <c r="Y717" s="39" t="n">
        <f aca="false">R717+S717+T717+U717</f>
        <v>958030</v>
      </c>
    </row>
    <row r="718" customFormat="false" ht="15" hidden="false" customHeight="false" outlineLevel="0" collapsed="false">
      <c r="A718" s="37" t="str">
        <f aca="false">'Assumptions &amp; Data'!A852</f>
        <v>SM0648</v>
      </c>
      <c r="B718" s="37" t="str">
        <f aca="false">'Assumptions &amp; Data'!B852</f>
        <v>DS054</v>
      </c>
      <c r="C718" s="38" t="n">
        <f aca="false">'Assumptions &amp; Data'!C852</f>
        <v>46266</v>
      </c>
      <c r="D718" s="39" t="str">
        <f aca="false">INDEX('Assumptions &amp; Data'!$B$142:$B$201,MATCH(B718,'Assumptions &amp; Data'!$A$142:$A$201,0))</f>
        <v>Pune</v>
      </c>
      <c r="E718" s="37" t="n">
        <f aca="false">'Assumptions &amp; Data'!D852</f>
        <v>9875</v>
      </c>
      <c r="F718" s="39" t="n">
        <f aca="false">E718*'Assumptions &amp; Data'!E852</f>
        <v>6159037.5</v>
      </c>
      <c r="G718" s="39" t="n">
        <f aca="false">F718*'Assumptions &amp; Data'!F852</f>
        <v>426205.395</v>
      </c>
      <c r="H718" s="39" t="n">
        <f aca="false">F718-G718</f>
        <v>5732832.105</v>
      </c>
      <c r="I718" s="39" t="n">
        <f aca="false">H718*'Assumptions &amp; Data'!G852</f>
        <v>985473.8388495</v>
      </c>
      <c r="J718" s="39" t="n">
        <f aca="false">E718*'Assumptions &amp; Data'!H852</f>
        <v>127091.25</v>
      </c>
      <c r="K718" s="39" t="n">
        <f aca="false">H718*'Assumptions &amp; Data'!I852</f>
        <v>110070.376416</v>
      </c>
      <c r="L718" s="39" t="n">
        <f aca="false">H718*'Assumptions &amp; Data'!J852</f>
        <v>190903.3090965</v>
      </c>
      <c r="M718" s="39" t="n">
        <f aca="false">I718+J718+K718-L718</f>
        <v>1031732.156169</v>
      </c>
      <c r="N718" s="39" t="n">
        <f aca="false">E718*'Assumptions &amp; Data'!N852</f>
        <v>415638.75</v>
      </c>
      <c r="O718" s="39" t="n">
        <f aca="false">E718*'Assumptions &amp; Data'!O852</f>
        <v>94503.75</v>
      </c>
      <c r="P718" s="39" t="n">
        <f aca="false">H718*'Assumptions &amp; Data'!P852</f>
        <v>56755.0378395</v>
      </c>
      <c r="Q718" s="39" t="n">
        <f aca="false">M718-N718-O718-P718</f>
        <v>464834.6183295</v>
      </c>
      <c r="R718" s="39" t="n">
        <f aca="false">'Assumptions &amp; Data'!L852*'Assumptions &amp; Data'!M852</f>
        <v>315120</v>
      </c>
      <c r="S718" s="37" t="n">
        <f aca="false">'Assumptions &amp; Data'!Q852</f>
        <v>404000</v>
      </c>
      <c r="T718" s="37" t="n">
        <f aca="false">'Assumptions &amp; Data'!R852</f>
        <v>164902</v>
      </c>
      <c r="U718" s="37" t="n">
        <f aca="false">'Assumptions &amp; Data'!S852</f>
        <v>90386</v>
      </c>
      <c r="V718" s="39" t="n">
        <f aca="false">Q718-R718-S718-T718-U718</f>
        <v>-509573.3816705</v>
      </c>
      <c r="W718" s="39" t="n">
        <f aca="false">DAY(EOMONTH(C718,0))</f>
        <v>30</v>
      </c>
      <c r="X718" s="40" t="n">
        <f aca="false">E718/W718</f>
        <v>329.166666666667</v>
      </c>
      <c r="Y718" s="39" t="n">
        <f aca="false">R718+S718+T718+U718</f>
        <v>974408</v>
      </c>
    </row>
    <row r="719" customFormat="false" ht="15" hidden="false" customHeight="false" outlineLevel="0" collapsed="false">
      <c r="A719" s="37" t="str">
        <f aca="false">'Assumptions &amp; Data'!A853</f>
        <v>SM0649</v>
      </c>
      <c r="B719" s="37" t="str">
        <f aca="false">'Assumptions &amp; Data'!B853</f>
        <v>DS055</v>
      </c>
      <c r="C719" s="38" t="n">
        <f aca="false">'Assumptions &amp; Data'!C853</f>
        <v>45931</v>
      </c>
      <c r="D719" s="39" t="str">
        <f aca="false">INDEX('Assumptions &amp; Data'!$B$142:$B$201,MATCH(B719,'Assumptions &amp; Data'!$A$142:$A$201,0))</f>
        <v>Jaipur</v>
      </c>
      <c r="E719" s="37" t="n">
        <f aca="false">'Assumptions &amp; Data'!D853</f>
        <v>30992</v>
      </c>
      <c r="F719" s="39" t="n">
        <f aca="false">E719*'Assumptions &amp; Data'!E853</f>
        <v>17752217.6</v>
      </c>
      <c r="G719" s="39" t="n">
        <f aca="false">F719*'Assumptions &amp; Data'!F853</f>
        <v>1185848.13568</v>
      </c>
      <c r="H719" s="39" t="n">
        <f aca="false">F719-G719</f>
        <v>16566369.46432</v>
      </c>
      <c r="I719" s="39" t="n">
        <f aca="false">H719*'Assumptions &amp; Data'!G853</f>
        <v>2821252.7197737</v>
      </c>
      <c r="J719" s="39" t="n">
        <f aca="false">E719*'Assumptions &amp; Data'!H853</f>
        <v>351139.36</v>
      </c>
      <c r="K719" s="39" t="n">
        <f aca="false">H719*'Assumptions &amp; Data'!I853</f>
        <v>485394.625304576</v>
      </c>
      <c r="L719" s="39" t="n">
        <f aca="false">H719*'Assumptions &amp; Data'!J853</f>
        <v>352863.669590016</v>
      </c>
      <c r="M719" s="39" t="n">
        <f aca="false">I719+J719+K719-L719</f>
        <v>3304923.03548826</v>
      </c>
      <c r="N719" s="39" t="n">
        <f aca="false">E719*'Assumptions &amp; Data'!N853</f>
        <v>906206.08</v>
      </c>
      <c r="O719" s="39" t="n">
        <f aca="false">E719*'Assumptions &amp; Data'!O853</f>
        <v>271799.84</v>
      </c>
      <c r="P719" s="39" t="n">
        <f aca="false">H719*'Assumptions &amp; Data'!P853</f>
        <v>165663.6946432</v>
      </c>
      <c r="Q719" s="39" t="n">
        <f aca="false">M719-N719-O719-P719</f>
        <v>1961253.42084506</v>
      </c>
      <c r="R719" s="39" t="n">
        <f aca="false">'Assumptions &amp; Data'!L853*'Assumptions &amp; Data'!M853</f>
        <v>352000</v>
      </c>
      <c r="S719" s="37" t="n">
        <f aca="false">'Assumptions &amp; Data'!Q853</f>
        <v>264000</v>
      </c>
      <c r="T719" s="37" t="n">
        <f aca="false">'Assumptions &amp; Data'!R853</f>
        <v>157310</v>
      </c>
      <c r="U719" s="37" t="n">
        <f aca="false">'Assumptions &amp; Data'!S853</f>
        <v>175988</v>
      </c>
      <c r="V719" s="39" t="n">
        <f aca="false">Q719-R719-S719-T719-U719</f>
        <v>1011955.42084506</v>
      </c>
      <c r="W719" s="39" t="n">
        <f aca="false">DAY(EOMONTH(C719,0))</f>
        <v>31</v>
      </c>
      <c r="X719" s="40" t="n">
        <f aca="false">E719/W719</f>
        <v>999.741935483871</v>
      </c>
      <c r="Y719" s="39" t="n">
        <f aca="false">R719+S719+T719+U719</f>
        <v>949298</v>
      </c>
    </row>
    <row r="720" customFormat="false" ht="15" hidden="false" customHeight="false" outlineLevel="0" collapsed="false">
      <c r="A720" s="37" t="str">
        <f aca="false">'Assumptions &amp; Data'!A854</f>
        <v>SM0650</v>
      </c>
      <c r="B720" s="37" t="str">
        <f aca="false">'Assumptions &amp; Data'!B854</f>
        <v>DS055</v>
      </c>
      <c r="C720" s="38" t="n">
        <f aca="false">'Assumptions &amp; Data'!C854</f>
        <v>45962</v>
      </c>
      <c r="D720" s="39" t="str">
        <f aca="false">INDEX('Assumptions &amp; Data'!$B$142:$B$201,MATCH(B720,'Assumptions &amp; Data'!$A$142:$A$201,0))</f>
        <v>Jaipur</v>
      </c>
      <c r="E720" s="37" t="n">
        <f aca="false">'Assumptions &amp; Data'!D854</f>
        <v>29423</v>
      </c>
      <c r="F720" s="39" t="n">
        <f aca="false">E720*'Assumptions &amp; Data'!E854</f>
        <v>17259531.8</v>
      </c>
      <c r="G720" s="39" t="n">
        <f aca="false">F720*'Assumptions &amp; Data'!F854</f>
        <v>1099432.17566</v>
      </c>
      <c r="H720" s="39" t="n">
        <f aca="false">F720-G720</f>
        <v>16160099.62434</v>
      </c>
      <c r="I720" s="39" t="n">
        <f aca="false">H720*'Assumptions &amp; Data'!G854</f>
        <v>2803777.28482299</v>
      </c>
      <c r="J720" s="39" t="n">
        <f aca="false">E720*'Assumptions &amp; Data'!H854</f>
        <v>357783.68</v>
      </c>
      <c r="K720" s="39" t="n">
        <f aca="false">H720*'Assumptions &amp; Data'!I854</f>
        <v>497731.068429672</v>
      </c>
      <c r="L720" s="39" t="n">
        <f aca="false">H720*'Assumptions &amp; Data'!J854</f>
        <v>318353.962599498</v>
      </c>
      <c r="M720" s="39" t="n">
        <f aca="false">I720+J720+K720-L720</f>
        <v>3340938.07065316</v>
      </c>
      <c r="N720" s="39" t="n">
        <f aca="false">E720*'Assumptions &amp; Data'!N854</f>
        <v>871215.03</v>
      </c>
      <c r="O720" s="39" t="n">
        <f aca="false">E720*'Assumptions &amp; Data'!O854</f>
        <v>258628.17</v>
      </c>
      <c r="P720" s="39" t="n">
        <f aca="false">H720*'Assumptions &amp; Data'!P854</f>
        <v>164833.016168268</v>
      </c>
      <c r="Q720" s="39" t="n">
        <f aca="false">M720-N720-O720-P720</f>
        <v>2046261.8544849</v>
      </c>
      <c r="R720" s="39" t="n">
        <f aca="false">'Assumptions &amp; Data'!L854*'Assumptions &amp; Data'!M854</f>
        <v>368345</v>
      </c>
      <c r="S720" s="37" t="n">
        <f aca="false">'Assumptions &amp; Data'!Q854</f>
        <v>264000</v>
      </c>
      <c r="T720" s="37" t="n">
        <f aca="false">'Assumptions &amp; Data'!R854</f>
        <v>162571</v>
      </c>
      <c r="U720" s="37" t="n">
        <f aca="false">'Assumptions &amp; Data'!S854</f>
        <v>172434</v>
      </c>
      <c r="V720" s="39" t="n">
        <f aca="false">Q720-R720-S720-T720-U720</f>
        <v>1078911.8544849</v>
      </c>
      <c r="W720" s="39" t="n">
        <f aca="false">DAY(EOMONTH(C720,0))</f>
        <v>30</v>
      </c>
      <c r="X720" s="40" t="n">
        <f aca="false">E720/W720</f>
        <v>980.766666666667</v>
      </c>
      <c r="Y720" s="39" t="n">
        <f aca="false">R720+S720+T720+U720</f>
        <v>967350</v>
      </c>
    </row>
    <row r="721" customFormat="false" ht="15" hidden="false" customHeight="false" outlineLevel="0" collapsed="false">
      <c r="A721" s="37" t="str">
        <f aca="false">'Assumptions &amp; Data'!A855</f>
        <v>SM0651</v>
      </c>
      <c r="B721" s="37" t="str">
        <f aca="false">'Assumptions &amp; Data'!B855</f>
        <v>DS055</v>
      </c>
      <c r="C721" s="38" t="n">
        <f aca="false">'Assumptions &amp; Data'!C855</f>
        <v>45992</v>
      </c>
      <c r="D721" s="39" t="str">
        <f aca="false">INDEX('Assumptions &amp; Data'!$B$142:$B$201,MATCH(B721,'Assumptions &amp; Data'!$A$142:$A$201,0))</f>
        <v>Jaipur</v>
      </c>
      <c r="E721" s="37" t="n">
        <f aca="false">'Assumptions &amp; Data'!D855</f>
        <v>31453</v>
      </c>
      <c r="F721" s="39" t="n">
        <f aca="false">E721*'Assumptions &amp; Data'!E855</f>
        <v>18296210.1</v>
      </c>
      <c r="G721" s="39" t="n">
        <f aca="false">F721*'Assumptions &amp; Data'!F855</f>
        <v>1220357.21367</v>
      </c>
      <c r="H721" s="39" t="n">
        <f aca="false">F721-G721</f>
        <v>17075852.88633</v>
      </c>
      <c r="I721" s="39" t="n">
        <f aca="false">H721*'Assumptions &amp; Data'!G855</f>
        <v>2952414.96404646</v>
      </c>
      <c r="J721" s="39" t="n">
        <f aca="false">E721*'Assumptions &amp; Data'!H855</f>
        <v>386242.84</v>
      </c>
      <c r="K721" s="39" t="n">
        <f aca="false">H721*'Assumptions &amp; Data'!I855</f>
        <v>462755.613219543</v>
      </c>
      <c r="L721" s="39" t="n">
        <f aca="false">H721*'Assumptions &amp; Data'!J855</f>
        <v>344932.228303866</v>
      </c>
      <c r="M721" s="39" t="n">
        <f aca="false">I721+J721+K721-L721</f>
        <v>3456481.18896213</v>
      </c>
      <c r="N721" s="39" t="n">
        <f aca="false">E721*'Assumptions &amp; Data'!N855</f>
        <v>903330.16</v>
      </c>
      <c r="O721" s="39" t="n">
        <f aca="false">E721*'Assumptions &amp; Data'!O855</f>
        <v>276786.4</v>
      </c>
      <c r="P721" s="39" t="n">
        <f aca="false">H721*'Assumptions &amp; Data'!P855</f>
        <v>174173.699440566</v>
      </c>
      <c r="Q721" s="39" t="n">
        <f aca="false">M721-N721-O721-P721</f>
        <v>2102190.92952157</v>
      </c>
      <c r="R721" s="39" t="n">
        <f aca="false">'Assumptions &amp; Data'!L855*'Assumptions &amp; Data'!M855</f>
        <v>336609</v>
      </c>
      <c r="S721" s="37" t="n">
        <f aca="false">'Assumptions &amp; Data'!Q855</f>
        <v>264000</v>
      </c>
      <c r="T721" s="37" t="n">
        <f aca="false">'Assumptions &amp; Data'!R855</f>
        <v>172139</v>
      </c>
      <c r="U721" s="37" t="n">
        <f aca="false">'Assumptions &amp; Data'!S855</f>
        <v>167454</v>
      </c>
      <c r="V721" s="39" t="n">
        <f aca="false">Q721-R721-S721-T721-U721</f>
        <v>1161988.92952157</v>
      </c>
      <c r="W721" s="39" t="n">
        <f aca="false">DAY(EOMONTH(C721,0))</f>
        <v>31</v>
      </c>
      <c r="X721" s="40" t="n">
        <f aca="false">E721/W721</f>
        <v>1014.61290322581</v>
      </c>
      <c r="Y721" s="39" t="n">
        <f aca="false">R721+S721+T721+U721</f>
        <v>940202</v>
      </c>
    </row>
    <row r="722" customFormat="false" ht="15" hidden="false" customHeight="false" outlineLevel="0" collapsed="false">
      <c r="A722" s="37" t="str">
        <f aca="false">'Assumptions &amp; Data'!A856</f>
        <v>SM0652</v>
      </c>
      <c r="B722" s="37" t="str">
        <f aca="false">'Assumptions &amp; Data'!B856</f>
        <v>DS055</v>
      </c>
      <c r="C722" s="38" t="n">
        <f aca="false">'Assumptions &amp; Data'!C856</f>
        <v>46023</v>
      </c>
      <c r="D722" s="39" t="str">
        <f aca="false">INDEX('Assumptions &amp; Data'!$B$142:$B$201,MATCH(B722,'Assumptions &amp; Data'!$A$142:$A$201,0))</f>
        <v>Jaipur</v>
      </c>
      <c r="E722" s="37" t="n">
        <f aca="false">'Assumptions &amp; Data'!D856</f>
        <v>34258</v>
      </c>
      <c r="F722" s="39" t="n">
        <f aca="false">E722*'Assumptions &amp; Data'!E856</f>
        <v>19681221</v>
      </c>
      <c r="G722" s="39" t="n">
        <f aca="false">F722*'Assumptions &amp; Data'!F856</f>
        <v>1235980.6788</v>
      </c>
      <c r="H722" s="39" t="n">
        <f aca="false">F722-G722</f>
        <v>18445240.3212</v>
      </c>
      <c r="I722" s="39" t="n">
        <f aca="false">H722*'Assumptions &amp; Data'!G856</f>
        <v>3111712.04218644</v>
      </c>
      <c r="J722" s="39" t="n">
        <f aca="false">E722*'Assumptions &amp; Data'!H856</f>
        <v>414864.38</v>
      </c>
      <c r="K722" s="39" t="n">
        <f aca="false">H722*'Assumptions &amp; Data'!I856</f>
        <v>527533.87318632</v>
      </c>
      <c r="L722" s="39" t="n">
        <f aca="false">H722*'Assumptions &amp; Data'!J856</f>
        <v>381816.47464884</v>
      </c>
      <c r="M722" s="39" t="n">
        <f aca="false">I722+J722+K722-L722</f>
        <v>3672293.82072392</v>
      </c>
      <c r="N722" s="39" t="n">
        <f aca="false">E722*'Assumptions &amp; Data'!N856</f>
        <v>1018147.76</v>
      </c>
      <c r="O722" s="39" t="n">
        <f aca="false">E722*'Assumptions &amp; Data'!O856</f>
        <v>291878.16</v>
      </c>
      <c r="P722" s="39" t="n">
        <f aca="false">H722*'Assumptions &amp; Data'!P856</f>
        <v>186296.92724412</v>
      </c>
      <c r="Q722" s="39" t="n">
        <f aca="false">M722-N722-O722-P722</f>
        <v>2175970.9734798</v>
      </c>
      <c r="R722" s="39" t="n">
        <f aca="false">'Assumptions &amp; Data'!L856*'Assumptions &amp; Data'!M856</f>
        <v>352968</v>
      </c>
      <c r="S722" s="37" t="n">
        <f aca="false">'Assumptions &amp; Data'!Q856</f>
        <v>264000</v>
      </c>
      <c r="T722" s="37" t="n">
        <f aca="false">'Assumptions &amp; Data'!R856</f>
        <v>178585</v>
      </c>
      <c r="U722" s="37" t="n">
        <f aca="false">'Assumptions &amp; Data'!S856</f>
        <v>183999</v>
      </c>
      <c r="V722" s="39" t="n">
        <f aca="false">Q722-R722-S722-T722-U722</f>
        <v>1196418.9734798</v>
      </c>
      <c r="W722" s="39" t="n">
        <f aca="false">DAY(EOMONTH(C722,0))</f>
        <v>31</v>
      </c>
      <c r="X722" s="40" t="n">
        <f aca="false">E722/W722</f>
        <v>1105.09677419355</v>
      </c>
      <c r="Y722" s="39" t="n">
        <f aca="false">R722+S722+T722+U722</f>
        <v>979552</v>
      </c>
    </row>
    <row r="723" customFormat="false" ht="15" hidden="false" customHeight="false" outlineLevel="0" collapsed="false">
      <c r="A723" s="37" t="str">
        <f aca="false">'Assumptions &amp; Data'!A857</f>
        <v>SM0653</v>
      </c>
      <c r="B723" s="37" t="str">
        <f aca="false">'Assumptions &amp; Data'!B857</f>
        <v>DS055</v>
      </c>
      <c r="C723" s="38" t="n">
        <f aca="false">'Assumptions &amp; Data'!C857</f>
        <v>46054</v>
      </c>
      <c r="D723" s="39" t="str">
        <f aca="false">INDEX('Assumptions &amp; Data'!$B$142:$B$201,MATCH(B723,'Assumptions &amp; Data'!$A$142:$A$201,0))</f>
        <v>Jaipur</v>
      </c>
      <c r="E723" s="37" t="n">
        <f aca="false">'Assumptions &amp; Data'!D857</f>
        <v>28303</v>
      </c>
      <c r="F723" s="39" t="n">
        <f aca="false">E723*'Assumptions &amp; Data'!E857</f>
        <v>16175164.5</v>
      </c>
      <c r="G723" s="39" t="n">
        <f aca="false">F723*'Assumptions &amp; Data'!F857</f>
        <v>1046533.14315</v>
      </c>
      <c r="H723" s="39" t="n">
        <f aca="false">F723-G723</f>
        <v>15128631.35685</v>
      </c>
      <c r="I723" s="39" t="n">
        <f aca="false">H723*'Assumptions &amp; Data'!G857</f>
        <v>2649023.35058444</v>
      </c>
      <c r="J723" s="39" t="n">
        <f aca="false">E723*'Assumptions &amp; Data'!H857</f>
        <v>329729.95</v>
      </c>
      <c r="K723" s="39" t="n">
        <f aca="false">H723*'Assumptions &amp; Data'!I857</f>
        <v>413011.636042005</v>
      </c>
      <c r="L723" s="39" t="n">
        <f aca="false">H723*'Assumptions &amp; Data'!J857</f>
        <v>317701.25849385</v>
      </c>
      <c r="M723" s="39" t="n">
        <f aca="false">I723+J723+K723-L723</f>
        <v>3074063.67813259</v>
      </c>
      <c r="N723" s="39" t="n">
        <f aca="false">E723*'Assumptions &amp; Data'!N857</f>
        <v>806069.44</v>
      </c>
      <c r="O723" s="39" t="n">
        <f aca="false">E723*'Assumptions &amp; Data'!O857</f>
        <v>252745.79</v>
      </c>
      <c r="P723" s="39" t="n">
        <f aca="false">H723*'Assumptions &amp; Data'!P857</f>
        <v>154312.03983987</v>
      </c>
      <c r="Q723" s="39" t="n">
        <f aca="false">M723-N723-O723-P723</f>
        <v>1860936.40829272</v>
      </c>
      <c r="R723" s="39" t="n">
        <f aca="false">'Assumptions &amp; Data'!L857*'Assumptions &amp; Data'!M857</f>
        <v>337218</v>
      </c>
      <c r="S723" s="37" t="n">
        <f aca="false">'Assumptions &amp; Data'!Q857</f>
        <v>264000</v>
      </c>
      <c r="T723" s="37" t="n">
        <f aca="false">'Assumptions &amp; Data'!R857</f>
        <v>169671</v>
      </c>
      <c r="U723" s="37" t="n">
        <f aca="false">'Assumptions &amp; Data'!S857</f>
        <v>148410</v>
      </c>
      <c r="V723" s="39" t="n">
        <f aca="false">Q723-R723-S723-T723-U723</f>
        <v>941637.40829272</v>
      </c>
      <c r="W723" s="39" t="n">
        <f aca="false">DAY(EOMONTH(C723,0))</f>
        <v>28</v>
      </c>
      <c r="X723" s="40" t="n">
        <f aca="false">E723/W723</f>
        <v>1010.82142857143</v>
      </c>
      <c r="Y723" s="39" t="n">
        <f aca="false">R723+S723+T723+U723</f>
        <v>919299</v>
      </c>
    </row>
    <row r="724" customFormat="false" ht="15" hidden="false" customHeight="false" outlineLevel="0" collapsed="false">
      <c r="A724" s="37" t="str">
        <f aca="false">'Assumptions &amp; Data'!A858</f>
        <v>SM0654</v>
      </c>
      <c r="B724" s="37" t="str">
        <f aca="false">'Assumptions &amp; Data'!B858</f>
        <v>DS055</v>
      </c>
      <c r="C724" s="38" t="n">
        <f aca="false">'Assumptions &amp; Data'!C858</f>
        <v>46082</v>
      </c>
      <c r="D724" s="39" t="str">
        <f aca="false">INDEX('Assumptions &amp; Data'!$B$142:$B$201,MATCH(B724,'Assumptions &amp; Data'!$A$142:$A$201,0))</f>
        <v>Jaipur</v>
      </c>
      <c r="E724" s="37" t="n">
        <f aca="false">'Assumptions &amp; Data'!D858</f>
        <v>34795</v>
      </c>
      <c r="F724" s="39" t="n">
        <f aca="false">E724*'Assumptions &amp; Data'!E858</f>
        <v>20351595.5</v>
      </c>
      <c r="G724" s="39" t="n">
        <f aca="false">F724*'Assumptions &amp; Data'!F858</f>
        <v>1284185.67605</v>
      </c>
      <c r="H724" s="39" t="n">
        <f aca="false">F724-G724</f>
        <v>19067409.82395</v>
      </c>
      <c r="I724" s="39" t="n">
        <f aca="false">H724*'Assumptions &amp; Data'!G858</f>
        <v>3319636.0503497</v>
      </c>
      <c r="J724" s="39" t="n">
        <f aca="false">E724*'Assumptions &amp; Data'!H858</f>
        <v>417540</v>
      </c>
      <c r="K724" s="39" t="n">
        <f aca="false">H724*'Assumptions &amp; Data'!I858</f>
        <v>558675.107841735</v>
      </c>
      <c r="L724" s="39" t="n">
        <f aca="false">H724*'Assumptions &amp; Data'!J858</f>
        <v>381348.196479</v>
      </c>
      <c r="M724" s="39" t="n">
        <f aca="false">I724+J724+K724-L724</f>
        <v>3914502.96171243</v>
      </c>
      <c r="N724" s="39" t="n">
        <f aca="false">E724*'Assumptions &amp; Data'!N858</f>
        <v>998616.5</v>
      </c>
      <c r="O724" s="39" t="n">
        <f aca="false">E724*'Assumptions &amp; Data'!O858</f>
        <v>308979.6</v>
      </c>
      <c r="P724" s="39" t="n">
        <f aca="false">H724*'Assumptions &amp; Data'!P858</f>
        <v>192580.839221895</v>
      </c>
      <c r="Q724" s="39" t="n">
        <f aca="false">M724-N724-O724-P724</f>
        <v>2414326.02249054</v>
      </c>
      <c r="R724" s="39" t="n">
        <f aca="false">'Assumptions &amp; Data'!L858*'Assumptions &amp; Data'!M858</f>
        <v>401825</v>
      </c>
      <c r="S724" s="37" t="n">
        <f aca="false">'Assumptions &amp; Data'!Q858</f>
        <v>264000</v>
      </c>
      <c r="T724" s="37" t="n">
        <f aca="false">'Assumptions &amp; Data'!R858</f>
        <v>161401</v>
      </c>
      <c r="U724" s="37" t="n">
        <f aca="false">'Assumptions &amp; Data'!S858</f>
        <v>184344</v>
      </c>
      <c r="V724" s="39" t="n">
        <f aca="false">Q724-R724-S724-T724-U724</f>
        <v>1402756.02249054</v>
      </c>
      <c r="W724" s="39" t="n">
        <f aca="false">DAY(EOMONTH(C724,0))</f>
        <v>31</v>
      </c>
      <c r="X724" s="40" t="n">
        <f aca="false">E724/W724</f>
        <v>1122.41935483871</v>
      </c>
      <c r="Y724" s="39" t="n">
        <f aca="false">R724+S724+T724+U724</f>
        <v>1011570</v>
      </c>
    </row>
    <row r="725" customFormat="false" ht="15" hidden="false" customHeight="false" outlineLevel="0" collapsed="false">
      <c r="A725" s="37" t="str">
        <f aca="false">'Assumptions &amp; Data'!A859</f>
        <v>SM0655</v>
      </c>
      <c r="B725" s="37" t="str">
        <f aca="false">'Assumptions &amp; Data'!B859</f>
        <v>DS055</v>
      </c>
      <c r="C725" s="38" t="n">
        <f aca="false">'Assumptions &amp; Data'!C859</f>
        <v>46113</v>
      </c>
      <c r="D725" s="39" t="str">
        <f aca="false">INDEX('Assumptions &amp; Data'!$B$142:$B$201,MATCH(B725,'Assumptions &amp; Data'!$A$142:$A$201,0))</f>
        <v>Jaipur</v>
      </c>
      <c r="E725" s="37" t="n">
        <f aca="false">'Assumptions &amp; Data'!D859</f>
        <v>33623</v>
      </c>
      <c r="F725" s="39" t="n">
        <f aca="false">E725*'Assumptions &amp; Data'!E859</f>
        <v>19541687.6</v>
      </c>
      <c r="G725" s="39" t="n">
        <f aca="false">F725*'Assumptions &amp; Data'!F859</f>
        <v>1209630.46244</v>
      </c>
      <c r="H725" s="39" t="n">
        <f aca="false">F725-G725</f>
        <v>18332057.13756</v>
      </c>
      <c r="I725" s="39" t="n">
        <f aca="false">H725*'Assumptions &amp; Data'!G859</f>
        <v>3140281.38766403</v>
      </c>
      <c r="J725" s="39" t="n">
        <f aca="false">E725*'Assumptions &amp; Data'!H859</f>
        <v>390699.26</v>
      </c>
      <c r="K725" s="39" t="n">
        <f aca="false">H725*'Assumptions &amp; Data'!I859</f>
        <v>564627.359836848</v>
      </c>
      <c r="L725" s="39" t="n">
        <f aca="false">H725*'Assumptions &amp; Data'!J859</f>
        <v>375807.17131998</v>
      </c>
      <c r="M725" s="39" t="n">
        <f aca="false">I725+J725+K725-L725</f>
        <v>3719800.8361809</v>
      </c>
      <c r="N725" s="39" t="n">
        <f aca="false">E725*'Assumptions &amp; Data'!N859</f>
        <v>980782.91</v>
      </c>
      <c r="O725" s="39" t="n">
        <f aca="false">E725*'Assumptions &amp; Data'!O859</f>
        <v>297899.78</v>
      </c>
      <c r="P725" s="39" t="n">
        <f aca="false">H725*'Assumptions &amp; Data'!P859</f>
        <v>181487.365661844</v>
      </c>
      <c r="Q725" s="39" t="n">
        <f aca="false">M725-N725-O725-P725</f>
        <v>2259630.78051905</v>
      </c>
      <c r="R725" s="39" t="n">
        <f aca="false">'Assumptions &amp; Data'!L859*'Assumptions &amp; Data'!M859</f>
        <v>386088</v>
      </c>
      <c r="S725" s="37" t="n">
        <f aca="false">'Assumptions &amp; Data'!Q859</f>
        <v>264000</v>
      </c>
      <c r="T725" s="37" t="n">
        <f aca="false">'Assumptions &amp; Data'!R859</f>
        <v>151068</v>
      </c>
      <c r="U725" s="37" t="n">
        <f aca="false">'Assumptions &amp; Data'!S859</f>
        <v>178211</v>
      </c>
      <c r="V725" s="39" t="n">
        <f aca="false">Q725-R725-S725-T725-U725</f>
        <v>1280263.78051905</v>
      </c>
      <c r="W725" s="39" t="n">
        <f aca="false">DAY(EOMONTH(C725,0))</f>
        <v>30</v>
      </c>
      <c r="X725" s="40" t="n">
        <f aca="false">E725/W725</f>
        <v>1120.76666666667</v>
      </c>
      <c r="Y725" s="39" t="n">
        <f aca="false">R725+S725+T725+U725</f>
        <v>979367</v>
      </c>
    </row>
    <row r="726" customFormat="false" ht="15" hidden="false" customHeight="false" outlineLevel="0" collapsed="false">
      <c r="A726" s="37" t="str">
        <f aca="false">'Assumptions &amp; Data'!A860</f>
        <v>SM0656</v>
      </c>
      <c r="B726" s="37" t="str">
        <f aca="false">'Assumptions &amp; Data'!B860</f>
        <v>DS055</v>
      </c>
      <c r="C726" s="38" t="n">
        <f aca="false">'Assumptions &amp; Data'!C860</f>
        <v>46143</v>
      </c>
      <c r="D726" s="39" t="str">
        <f aca="false">INDEX('Assumptions &amp; Data'!$B$142:$B$201,MATCH(B726,'Assumptions &amp; Data'!$A$142:$A$201,0))</f>
        <v>Jaipur</v>
      </c>
      <c r="E726" s="37" t="n">
        <f aca="false">'Assumptions &amp; Data'!D860</f>
        <v>36424</v>
      </c>
      <c r="F726" s="39" t="n">
        <f aca="false">E726*'Assumptions &amp; Data'!E860</f>
        <v>21384530.4</v>
      </c>
      <c r="G726" s="39" t="n">
        <f aca="false">F726*'Assumptions &amp; Data'!F860</f>
        <v>1317287.07264</v>
      </c>
      <c r="H726" s="39" t="n">
        <f aca="false">F726-G726</f>
        <v>20067243.32736</v>
      </c>
      <c r="I726" s="39" t="n">
        <f aca="false">H726*'Assumptions &amp; Data'!G860</f>
        <v>3459592.74963686</v>
      </c>
      <c r="J726" s="39" t="n">
        <f aca="false">E726*'Assumptions &amp; Data'!H860</f>
        <v>453478.8</v>
      </c>
      <c r="K726" s="39" t="n">
        <f aca="false">H726*'Assumptions &amp; Data'!I860</f>
        <v>551849.1915024</v>
      </c>
      <c r="L726" s="39" t="n">
        <f aca="false">H726*'Assumptions &amp; Data'!J860</f>
        <v>431445.73153824</v>
      </c>
      <c r="M726" s="39" t="n">
        <f aca="false">I726+J726+K726-L726</f>
        <v>4033475.00960102</v>
      </c>
      <c r="N726" s="39" t="n">
        <f aca="false">E726*'Assumptions &amp; Data'!N860</f>
        <v>1068680.16</v>
      </c>
      <c r="O726" s="39" t="n">
        <f aca="false">E726*'Assumptions &amp; Data'!O860</f>
        <v>317981.52</v>
      </c>
      <c r="P726" s="39" t="n">
        <f aca="false">H726*'Assumptions &amp; Data'!P860</f>
        <v>196658.984608128</v>
      </c>
      <c r="Q726" s="39" t="n">
        <f aca="false">M726-N726-O726-P726</f>
        <v>2450154.3449929</v>
      </c>
      <c r="R726" s="39" t="n">
        <f aca="false">'Assumptions &amp; Data'!L860*'Assumptions &amp; Data'!M860</f>
        <v>402550</v>
      </c>
      <c r="S726" s="37" t="n">
        <f aca="false">'Assumptions &amp; Data'!Q860</f>
        <v>264000</v>
      </c>
      <c r="T726" s="37" t="n">
        <f aca="false">'Assumptions &amp; Data'!R860</f>
        <v>157456</v>
      </c>
      <c r="U726" s="37" t="n">
        <f aca="false">'Assumptions &amp; Data'!S860</f>
        <v>165920</v>
      </c>
      <c r="V726" s="39" t="n">
        <f aca="false">Q726-R726-S726-T726-U726</f>
        <v>1460228.3449929</v>
      </c>
      <c r="W726" s="39" t="n">
        <f aca="false">DAY(EOMONTH(C726,0))</f>
        <v>31</v>
      </c>
      <c r="X726" s="40" t="n">
        <f aca="false">E726/W726</f>
        <v>1174.96774193548</v>
      </c>
      <c r="Y726" s="39" t="n">
        <f aca="false">R726+S726+T726+U726</f>
        <v>989926</v>
      </c>
    </row>
    <row r="727" customFormat="false" ht="15" hidden="false" customHeight="false" outlineLevel="0" collapsed="false">
      <c r="A727" s="37" t="str">
        <f aca="false">'Assumptions &amp; Data'!A861</f>
        <v>SM0657</v>
      </c>
      <c r="B727" s="37" t="str">
        <f aca="false">'Assumptions &amp; Data'!B861</f>
        <v>DS055</v>
      </c>
      <c r="C727" s="38" t="n">
        <f aca="false">'Assumptions &amp; Data'!C861</f>
        <v>46174</v>
      </c>
      <c r="D727" s="39" t="str">
        <f aca="false">INDEX('Assumptions &amp; Data'!$B$142:$B$201,MATCH(B727,'Assumptions &amp; Data'!$A$142:$A$201,0))</f>
        <v>Jaipur</v>
      </c>
      <c r="E727" s="37" t="n">
        <f aca="false">'Assumptions &amp; Data'!D861</f>
        <v>35708</v>
      </c>
      <c r="F727" s="39" t="n">
        <f aca="false">E727*'Assumptions &amp; Data'!E861</f>
        <v>20235723.6</v>
      </c>
      <c r="G727" s="39" t="n">
        <f aca="false">F727*'Assumptions &amp; Data'!F861</f>
        <v>1329487.04052</v>
      </c>
      <c r="H727" s="39" t="n">
        <f aca="false">F727-G727</f>
        <v>18906236.55948</v>
      </c>
      <c r="I727" s="39" t="n">
        <f aca="false">H727*'Assumptions &amp; Data'!G861</f>
        <v>3215950.83876755</v>
      </c>
      <c r="J727" s="39" t="n">
        <f aca="false">E727*'Assumptions &amp; Data'!H861</f>
        <v>440993.8</v>
      </c>
      <c r="K727" s="39" t="n">
        <f aca="false">H727*'Assumptions &amp; Data'!I861</f>
        <v>629577.677430684</v>
      </c>
      <c r="L727" s="39" t="n">
        <f aca="false">H727*'Assumptions &amp; Data'!J861</f>
        <v>383796.602157444</v>
      </c>
      <c r="M727" s="39" t="n">
        <f aca="false">I727+J727+K727-L727</f>
        <v>3902725.71404079</v>
      </c>
      <c r="N727" s="39" t="n">
        <f aca="false">E727*'Assumptions &amp; Data'!N861</f>
        <v>1054814.32</v>
      </c>
      <c r="O727" s="39" t="n">
        <f aca="false">E727*'Assumptions &amp; Data'!O861</f>
        <v>299233.04</v>
      </c>
      <c r="P727" s="39" t="n">
        <f aca="false">H727*'Assumptions &amp; Data'!P861</f>
        <v>198515.48387454</v>
      </c>
      <c r="Q727" s="39" t="n">
        <f aca="false">M727-N727-O727-P727</f>
        <v>2350162.87016625</v>
      </c>
      <c r="R727" s="39" t="n">
        <f aca="false">'Assumptions &amp; Data'!L861*'Assumptions &amp; Data'!M861</f>
        <v>402900</v>
      </c>
      <c r="S727" s="37" t="n">
        <f aca="false">'Assumptions &amp; Data'!Q861</f>
        <v>264000</v>
      </c>
      <c r="T727" s="37" t="n">
        <f aca="false">'Assumptions &amp; Data'!R861</f>
        <v>159112</v>
      </c>
      <c r="U727" s="37" t="n">
        <f aca="false">'Assumptions &amp; Data'!S861</f>
        <v>137033</v>
      </c>
      <c r="V727" s="39" t="n">
        <f aca="false">Q727-R727-S727-T727-U727</f>
        <v>1387117.87016625</v>
      </c>
      <c r="W727" s="39" t="n">
        <f aca="false">DAY(EOMONTH(C727,0))</f>
        <v>30</v>
      </c>
      <c r="X727" s="40" t="n">
        <f aca="false">E727/W727</f>
        <v>1190.26666666667</v>
      </c>
      <c r="Y727" s="39" t="n">
        <f aca="false">R727+S727+T727+U727</f>
        <v>963045</v>
      </c>
    </row>
    <row r="728" customFormat="false" ht="15" hidden="false" customHeight="false" outlineLevel="0" collapsed="false">
      <c r="A728" s="37" t="str">
        <f aca="false">'Assumptions &amp; Data'!A862</f>
        <v>SM0658</v>
      </c>
      <c r="B728" s="37" t="str">
        <f aca="false">'Assumptions &amp; Data'!B862</f>
        <v>DS055</v>
      </c>
      <c r="C728" s="38" t="n">
        <f aca="false">'Assumptions &amp; Data'!C862</f>
        <v>46204</v>
      </c>
      <c r="D728" s="39" t="str">
        <f aca="false">INDEX('Assumptions &amp; Data'!$B$142:$B$201,MATCH(B728,'Assumptions &amp; Data'!$A$142:$A$201,0))</f>
        <v>Jaipur</v>
      </c>
      <c r="E728" s="37" t="n">
        <f aca="false">'Assumptions &amp; Data'!D862</f>
        <v>35928</v>
      </c>
      <c r="F728" s="39" t="n">
        <f aca="false">E728*'Assumptions &amp; Data'!E862</f>
        <v>20705306.4</v>
      </c>
      <c r="G728" s="39" t="n">
        <f aca="false">F728*'Assumptions &amp; Data'!F862</f>
        <v>1304434.3032</v>
      </c>
      <c r="H728" s="39" t="n">
        <f aca="false">F728-G728</f>
        <v>19400872.0968</v>
      </c>
      <c r="I728" s="39" t="n">
        <f aca="false">H728*'Assumptions &amp; Data'!G862</f>
        <v>3265166.77389144</v>
      </c>
      <c r="J728" s="39" t="n">
        <f aca="false">E728*'Assumptions &amp; Data'!H862</f>
        <v>440118</v>
      </c>
      <c r="K728" s="39" t="n">
        <f aca="false">H728*'Assumptions &amp; Data'!I862</f>
        <v>568445.55243624</v>
      </c>
      <c r="L728" s="39" t="n">
        <f aca="false">H728*'Assumptions &amp; Data'!J862</f>
        <v>409358.40124248</v>
      </c>
      <c r="M728" s="39" t="n">
        <f aca="false">I728+J728+K728-L728</f>
        <v>3864371.9250852</v>
      </c>
      <c r="N728" s="39" t="n">
        <f aca="false">E728*'Assumptions &amp; Data'!N862</f>
        <v>1050175.44</v>
      </c>
      <c r="O728" s="39" t="n">
        <f aca="false">E728*'Assumptions &amp; Data'!O862</f>
        <v>310058.64</v>
      </c>
      <c r="P728" s="39" t="n">
        <f aca="false">H728*'Assumptions &amp; Data'!P862</f>
        <v>186248.37212928</v>
      </c>
      <c r="Q728" s="39" t="n">
        <f aca="false">M728-N728-O728-P728</f>
        <v>2317889.47295592</v>
      </c>
      <c r="R728" s="39" t="n">
        <f aca="false">'Assumptions &amp; Data'!L862*'Assumptions &amp; Data'!M862</f>
        <v>419406</v>
      </c>
      <c r="S728" s="37" t="n">
        <f aca="false">'Assumptions &amp; Data'!Q862</f>
        <v>264000</v>
      </c>
      <c r="T728" s="37" t="n">
        <f aca="false">'Assumptions &amp; Data'!R862</f>
        <v>166966</v>
      </c>
      <c r="U728" s="37" t="n">
        <f aca="false">'Assumptions &amp; Data'!S862</f>
        <v>179573</v>
      </c>
      <c r="V728" s="39" t="n">
        <f aca="false">Q728-R728-S728-T728-U728</f>
        <v>1287944.47295592</v>
      </c>
      <c r="W728" s="39" t="n">
        <f aca="false">DAY(EOMONTH(C728,0))</f>
        <v>31</v>
      </c>
      <c r="X728" s="40" t="n">
        <f aca="false">E728/W728</f>
        <v>1158.96774193548</v>
      </c>
      <c r="Y728" s="39" t="n">
        <f aca="false">R728+S728+T728+U728</f>
        <v>1029945</v>
      </c>
    </row>
    <row r="729" customFormat="false" ht="15" hidden="false" customHeight="false" outlineLevel="0" collapsed="false">
      <c r="A729" s="37" t="str">
        <f aca="false">'Assumptions &amp; Data'!A863</f>
        <v>SM0659</v>
      </c>
      <c r="B729" s="37" t="str">
        <f aca="false">'Assumptions &amp; Data'!B863</f>
        <v>DS055</v>
      </c>
      <c r="C729" s="38" t="n">
        <f aca="false">'Assumptions &amp; Data'!C863</f>
        <v>46235</v>
      </c>
      <c r="D729" s="39" t="str">
        <f aca="false">INDEX('Assumptions &amp; Data'!$B$142:$B$201,MATCH(B729,'Assumptions &amp; Data'!$A$142:$A$201,0))</f>
        <v>Jaipur</v>
      </c>
      <c r="E729" s="37" t="n">
        <f aca="false">'Assumptions &amp; Data'!D863</f>
        <v>37142</v>
      </c>
      <c r="F729" s="39" t="n">
        <f aca="false">E729*'Assumptions &amp; Data'!E863</f>
        <v>21334364.8</v>
      </c>
      <c r="G729" s="39" t="n">
        <f aca="false">F729*'Assumptions &amp; Data'!F863</f>
        <v>1326997.49056</v>
      </c>
      <c r="H729" s="39" t="n">
        <f aca="false">F729-G729</f>
        <v>20007367.30944</v>
      </c>
      <c r="I729" s="39" t="n">
        <f aca="false">H729*'Assumptions &amp; Data'!G863</f>
        <v>3385246.54875725</v>
      </c>
      <c r="J729" s="39" t="n">
        <f aca="false">E729*'Assumptions &amp; Data'!H863</f>
        <v>443846.9</v>
      </c>
      <c r="K729" s="39" t="n">
        <f aca="false">H729*'Assumptions &amp; Data'!I863</f>
        <v>600221.0192832</v>
      </c>
      <c r="L729" s="39" t="n">
        <f aca="false">H729*'Assumptions &amp; Data'!J863</f>
        <v>420154.71349824</v>
      </c>
      <c r="M729" s="39" t="n">
        <f aca="false">I729+J729+K729-L729</f>
        <v>4009159.75454221</v>
      </c>
      <c r="N729" s="39" t="n">
        <f aca="false">E729*'Assumptions &amp; Data'!N863</f>
        <v>1112031.48</v>
      </c>
      <c r="O729" s="39" t="n">
        <f aca="false">E729*'Assumptions &amp; Data'!O863</f>
        <v>336506.52</v>
      </c>
      <c r="P729" s="39" t="n">
        <f aca="false">H729*'Assumptions &amp; Data'!P863</f>
        <v>192070.726170624</v>
      </c>
      <c r="Q729" s="39" t="n">
        <f aca="false">M729-N729-O729-P729</f>
        <v>2368551.02837158</v>
      </c>
      <c r="R729" s="39" t="n">
        <f aca="false">'Assumptions &amp; Data'!L863*'Assumptions &amp; Data'!M863</f>
        <v>419770</v>
      </c>
      <c r="S729" s="37" t="n">
        <f aca="false">'Assumptions &amp; Data'!Q863</f>
        <v>264000</v>
      </c>
      <c r="T729" s="37" t="n">
        <f aca="false">'Assumptions &amp; Data'!R863</f>
        <v>173815</v>
      </c>
      <c r="U729" s="37" t="n">
        <f aca="false">'Assumptions &amp; Data'!S863</f>
        <v>161645</v>
      </c>
      <c r="V729" s="39" t="n">
        <f aca="false">Q729-R729-S729-T729-U729</f>
        <v>1349321.02837158</v>
      </c>
      <c r="W729" s="39" t="n">
        <f aca="false">DAY(EOMONTH(C729,0))</f>
        <v>31</v>
      </c>
      <c r="X729" s="40" t="n">
        <f aca="false">E729/W729</f>
        <v>1198.12903225806</v>
      </c>
      <c r="Y729" s="39" t="n">
        <f aca="false">R729+S729+T729+U729</f>
        <v>1019230</v>
      </c>
    </row>
    <row r="730" customFormat="false" ht="15" hidden="false" customHeight="false" outlineLevel="0" collapsed="false">
      <c r="A730" s="37" t="str">
        <f aca="false">'Assumptions &amp; Data'!A864</f>
        <v>SM0660</v>
      </c>
      <c r="B730" s="37" t="str">
        <f aca="false">'Assumptions &amp; Data'!B864</f>
        <v>DS055</v>
      </c>
      <c r="C730" s="38" t="n">
        <f aca="false">'Assumptions &amp; Data'!C864</f>
        <v>46266</v>
      </c>
      <c r="D730" s="39" t="str">
        <f aca="false">INDEX('Assumptions &amp; Data'!$B$142:$B$201,MATCH(B730,'Assumptions &amp; Data'!$A$142:$A$201,0))</f>
        <v>Jaipur</v>
      </c>
      <c r="E730" s="37" t="n">
        <f aca="false">'Assumptions &amp; Data'!D864</f>
        <v>35754</v>
      </c>
      <c r="F730" s="39" t="n">
        <f aca="false">E730*'Assumptions &amp; Data'!E864</f>
        <v>20351176.8</v>
      </c>
      <c r="G730" s="39" t="n">
        <f aca="false">F730*'Assumptions &amp; Data'!F864</f>
        <v>1343177.6688</v>
      </c>
      <c r="H730" s="39" t="n">
        <f aca="false">F730-G730</f>
        <v>19007999.1312</v>
      </c>
      <c r="I730" s="39" t="n">
        <f aca="false">H730*'Assumptions &amp; Data'!G864</f>
        <v>3208550.25334656</v>
      </c>
      <c r="J730" s="39" t="n">
        <f aca="false">E730*'Assumptions &amp; Data'!H864</f>
        <v>435483.72</v>
      </c>
      <c r="K730" s="39" t="n">
        <f aca="false">H730*'Assumptions &amp; Data'!I864</f>
        <v>549331.17489168</v>
      </c>
      <c r="L730" s="39" t="n">
        <f aca="false">H730*'Assumptions &amp; Data'!J864</f>
        <v>404870.38149456</v>
      </c>
      <c r="M730" s="39" t="n">
        <f aca="false">I730+J730+K730-L730</f>
        <v>3788494.76674368</v>
      </c>
      <c r="N730" s="39" t="n">
        <f aca="false">E730*'Assumptions &amp; Data'!N864</f>
        <v>1049379.9</v>
      </c>
      <c r="O730" s="39" t="n">
        <f aca="false">E730*'Assumptions &amp; Data'!O864</f>
        <v>320355.84</v>
      </c>
      <c r="P730" s="39" t="n">
        <f aca="false">H730*'Assumptions &amp; Data'!P864</f>
        <v>186278.39148576</v>
      </c>
      <c r="Q730" s="39" t="n">
        <f aca="false">M730-N730-O730-P730</f>
        <v>2232480.63525792</v>
      </c>
      <c r="R730" s="39" t="n">
        <f aca="false">'Assumptions &amp; Data'!L864*'Assumptions &amp; Data'!M864</f>
        <v>404000</v>
      </c>
      <c r="S730" s="37" t="n">
        <f aca="false">'Assumptions &amp; Data'!Q864</f>
        <v>264000</v>
      </c>
      <c r="T730" s="37" t="n">
        <f aca="false">'Assumptions &amp; Data'!R864</f>
        <v>178101</v>
      </c>
      <c r="U730" s="37" t="n">
        <f aca="false">'Assumptions &amp; Data'!S864</f>
        <v>149115</v>
      </c>
      <c r="V730" s="39" t="n">
        <f aca="false">Q730-R730-S730-T730-U730</f>
        <v>1237264.63525792</v>
      </c>
      <c r="W730" s="39" t="n">
        <f aca="false">DAY(EOMONTH(C730,0))</f>
        <v>30</v>
      </c>
      <c r="X730" s="40" t="n">
        <f aca="false">E730/W730</f>
        <v>1191.8</v>
      </c>
      <c r="Y730" s="39" t="n">
        <f aca="false">R730+S730+T730+U730</f>
        <v>995216</v>
      </c>
    </row>
    <row r="731" customFormat="false" ht="15" hidden="false" customHeight="false" outlineLevel="0" collapsed="false">
      <c r="A731" s="37" t="str">
        <f aca="false">'Assumptions &amp; Data'!A865</f>
        <v>SM0661</v>
      </c>
      <c r="B731" s="37" t="str">
        <f aca="false">'Assumptions &amp; Data'!B865</f>
        <v>DS056</v>
      </c>
      <c r="C731" s="38" t="n">
        <f aca="false">'Assumptions &amp; Data'!C865</f>
        <v>45931</v>
      </c>
      <c r="D731" s="39" t="str">
        <f aca="false">INDEX('Assumptions &amp; Data'!$B$142:$B$201,MATCH(B731,'Assumptions &amp; Data'!$A$142:$A$201,0))</f>
        <v>Jaipur</v>
      </c>
      <c r="E731" s="37" t="n">
        <f aca="false">'Assumptions &amp; Data'!D865</f>
        <v>30963</v>
      </c>
      <c r="F731" s="39" t="n">
        <f aca="false">E731*'Assumptions &amp; Data'!E865</f>
        <v>17336183.7</v>
      </c>
      <c r="G731" s="39" t="n">
        <f aca="false">F731*'Assumptions &amp; Data'!F865</f>
        <v>946555.63002</v>
      </c>
      <c r="H731" s="39" t="n">
        <f aca="false">F731-G731</f>
        <v>16389628.06998</v>
      </c>
      <c r="I731" s="39" t="n">
        <f aca="false">H731*'Assumptions &amp; Data'!G865</f>
        <v>2761652.32979163</v>
      </c>
      <c r="J731" s="39" t="n">
        <f aca="false">E731*'Assumptions &amp; Data'!H865</f>
        <v>417690.87</v>
      </c>
      <c r="K731" s="39" t="n">
        <f aca="false">H731*'Assumptions &amp; Data'!I865</f>
        <v>467104.39999443</v>
      </c>
      <c r="L731" s="39" t="n">
        <f aca="false">H731*'Assumptions &amp; Data'!J865</f>
        <v>603138.312975264</v>
      </c>
      <c r="M731" s="39" t="n">
        <f aca="false">I731+J731+K731-L731</f>
        <v>3043309.2868108</v>
      </c>
      <c r="N731" s="39" t="n">
        <f aca="false">E731*'Assumptions &amp; Data'!N865</f>
        <v>1049645.7</v>
      </c>
      <c r="O731" s="39" t="n">
        <f aca="false">E731*'Assumptions &amp; Data'!O865</f>
        <v>283001.82</v>
      </c>
      <c r="P731" s="39" t="n">
        <f aca="false">H731*'Assumptions &amp; Data'!P865</f>
        <v>172091.09473479</v>
      </c>
      <c r="Q731" s="39" t="n">
        <f aca="false">M731-N731-O731-P731</f>
        <v>1538570.67207601</v>
      </c>
      <c r="R731" s="39" t="n">
        <f aca="false">'Assumptions &amp; Data'!L865*'Assumptions &amp; Data'!M865</f>
        <v>416000</v>
      </c>
      <c r="S731" s="37" t="n">
        <f aca="false">'Assumptions &amp; Data'!Q865</f>
        <v>207000</v>
      </c>
      <c r="T731" s="37" t="n">
        <f aca="false">'Assumptions &amp; Data'!R865</f>
        <v>185750</v>
      </c>
      <c r="U731" s="37" t="n">
        <f aca="false">'Assumptions &amp; Data'!S865</f>
        <v>174025</v>
      </c>
      <c r="V731" s="39" t="n">
        <f aca="false">Q731-R731-S731-T731-U731</f>
        <v>555795.672076007</v>
      </c>
      <c r="W731" s="39" t="n">
        <f aca="false">DAY(EOMONTH(C731,0))</f>
        <v>31</v>
      </c>
      <c r="X731" s="40" t="n">
        <f aca="false">E731/W731</f>
        <v>998.806451612903</v>
      </c>
      <c r="Y731" s="39" t="n">
        <f aca="false">R731+S731+T731+U731</f>
        <v>982775</v>
      </c>
    </row>
    <row r="732" customFormat="false" ht="15" hidden="false" customHeight="false" outlineLevel="0" collapsed="false">
      <c r="A732" s="37" t="str">
        <f aca="false">'Assumptions &amp; Data'!A866</f>
        <v>SM0662</v>
      </c>
      <c r="B732" s="37" t="str">
        <f aca="false">'Assumptions &amp; Data'!B866</f>
        <v>DS056</v>
      </c>
      <c r="C732" s="38" t="n">
        <f aca="false">'Assumptions &amp; Data'!C866</f>
        <v>45962</v>
      </c>
      <c r="D732" s="39" t="str">
        <f aca="false">INDEX('Assumptions &amp; Data'!$B$142:$B$201,MATCH(B732,'Assumptions &amp; Data'!$A$142:$A$201,0))</f>
        <v>Jaipur</v>
      </c>
      <c r="E732" s="37" t="n">
        <f aca="false">'Assumptions &amp; Data'!D866</f>
        <v>32317</v>
      </c>
      <c r="F732" s="39" t="n">
        <f aca="false">E732*'Assumptions &amp; Data'!E866</f>
        <v>18152458.9</v>
      </c>
      <c r="G732" s="39" t="n">
        <f aca="false">F732*'Assumptions &amp; Data'!F866</f>
        <v>998385.2395</v>
      </c>
      <c r="H732" s="39" t="n">
        <f aca="false">F732-G732</f>
        <v>17154073.6605</v>
      </c>
      <c r="I732" s="39" t="n">
        <f aca="false">H732*'Assumptions &amp; Data'!G866</f>
        <v>2845860.82027695</v>
      </c>
      <c r="J732" s="39" t="n">
        <f aca="false">E732*'Assumptions &amp; Data'!H866</f>
        <v>429169.76</v>
      </c>
      <c r="K732" s="39" t="n">
        <f aca="false">H732*'Assumptions &amp; Data'!I866</f>
        <v>487175.6919582</v>
      </c>
      <c r="L732" s="39" t="n">
        <f aca="false">H732*'Assumptions &amp; Data'!J866</f>
        <v>648423.9843669</v>
      </c>
      <c r="M732" s="39" t="n">
        <f aca="false">I732+J732+K732-L732</f>
        <v>3113782.28786825</v>
      </c>
      <c r="N732" s="39" t="n">
        <f aca="false">E732*'Assumptions &amp; Data'!N866</f>
        <v>1116552.35</v>
      </c>
      <c r="O732" s="39" t="n">
        <f aca="false">E732*'Assumptions &amp; Data'!O866</f>
        <v>280511.56</v>
      </c>
      <c r="P732" s="39" t="n">
        <f aca="false">H732*'Assumptions &amp; Data'!P866</f>
        <v>173256.14397105</v>
      </c>
      <c r="Q732" s="39" t="n">
        <f aca="false">M732-N732-O732-P732</f>
        <v>1543462.2338972</v>
      </c>
      <c r="R732" s="39" t="n">
        <f aca="false">'Assumptions &amp; Data'!L866*'Assumptions &amp; Data'!M866</f>
        <v>480450</v>
      </c>
      <c r="S732" s="37" t="n">
        <f aca="false">'Assumptions &amp; Data'!Q866</f>
        <v>207000</v>
      </c>
      <c r="T732" s="37" t="n">
        <f aca="false">'Assumptions &amp; Data'!R866</f>
        <v>179755</v>
      </c>
      <c r="U732" s="37" t="n">
        <f aca="false">'Assumptions &amp; Data'!S866</f>
        <v>154698</v>
      </c>
      <c r="V732" s="39" t="n">
        <f aca="false">Q732-R732-S732-T732-U732</f>
        <v>521559.2338972</v>
      </c>
      <c r="W732" s="39" t="n">
        <f aca="false">DAY(EOMONTH(C732,0))</f>
        <v>30</v>
      </c>
      <c r="X732" s="40" t="n">
        <f aca="false">E732/W732</f>
        <v>1077.23333333333</v>
      </c>
      <c r="Y732" s="39" t="n">
        <f aca="false">R732+S732+T732+U732</f>
        <v>1021903</v>
      </c>
    </row>
    <row r="733" customFormat="false" ht="15" hidden="false" customHeight="false" outlineLevel="0" collapsed="false">
      <c r="A733" s="37" t="str">
        <f aca="false">'Assumptions &amp; Data'!A867</f>
        <v>SM0663</v>
      </c>
      <c r="B733" s="37" t="str">
        <f aca="false">'Assumptions &amp; Data'!B867</f>
        <v>DS056</v>
      </c>
      <c r="C733" s="38" t="n">
        <f aca="false">'Assumptions &amp; Data'!C867</f>
        <v>45992</v>
      </c>
      <c r="D733" s="39" t="str">
        <f aca="false">INDEX('Assumptions &amp; Data'!$B$142:$B$201,MATCH(B733,'Assumptions &amp; Data'!$A$142:$A$201,0))</f>
        <v>Jaipur</v>
      </c>
      <c r="E733" s="37" t="n">
        <f aca="false">'Assumptions &amp; Data'!D867</f>
        <v>38876</v>
      </c>
      <c r="F733" s="39" t="n">
        <f aca="false">E733*'Assumptions &amp; Data'!E867</f>
        <v>21028028.4</v>
      </c>
      <c r="G733" s="39" t="n">
        <f aca="false">F733*'Assumptions &amp; Data'!F867</f>
        <v>1078737.85692</v>
      </c>
      <c r="H733" s="39" t="n">
        <f aca="false">F733-G733</f>
        <v>19949290.54308</v>
      </c>
      <c r="I733" s="39" t="n">
        <f aca="false">H733*'Assumptions &amp; Data'!G867</f>
        <v>3295622.79771682</v>
      </c>
      <c r="J733" s="39" t="n">
        <f aca="false">E733*'Assumptions &amp; Data'!H867</f>
        <v>520549.64</v>
      </c>
      <c r="K733" s="39" t="n">
        <f aca="false">H733*'Assumptions &amp; Data'!I867</f>
        <v>608453.36156394</v>
      </c>
      <c r="L733" s="39" t="n">
        <f aca="false">H733*'Assumptions &amp; Data'!J867</f>
        <v>734133.891985344</v>
      </c>
      <c r="M733" s="39" t="n">
        <f aca="false">I733+J733+K733-L733</f>
        <v>3690491.90729541</v>
      </c>
      <c r="N733" s="39" t="n">
        <f aca="false">E733*'Assumptions &amp; Data'!N867</f>
        <v>1286795.6</v>
      </c>
      <c r="O733" s="39" t="n">
        <f aca="false">E733*'Assumptions &amp; Data'!O867</f>
        <v>338609.96</v>
      </c>
      <c r="P733" s="39" t="n">
        <f aca="false">H733*'Assumptions &amp; Data'!P867</f>
        <v>197497.976376492</v>
      </c>
      <c r="Q733" s="39" t="n">
        <f aca="false">M733-N733-O733-P733</f>
        <v>1867588.37091892</v>
      </c>
      <c r="R733" s="39" t="n">
        <f aca="false">'Assumptions &amp; Data'!L867*'Assumptions &amp; Data'!M867</f>
        <v>528957</v>
      </c>
      <c r="S733" s="37" t="n">
        <f aca="false">'Assumptions &amp; Data'!Q867</f>
        <v>207000</v>
      </c>
      <c r="T733" s="37" t="n">
        <f aca="false">'Assumptions &amp; Data'!R867</f>
        <v>167892</v>
      </c>
      <c r="U733" s="37" t="n">
        <f aca="false">'Assumptions &amp; Data'!S867</f>
        <v>193930</v>
      </c>
      <c r="V733" s="39" t="n">
        <f aca="false">Q733-R733-S733-T733-U733</f>
        <v>769809.37091892</v>
      </c>
      <c r="W733" s="39" t="n">
        <f aca="false">DAY(EOMONTH(C733,0))</f>
        <v>31</v>
      </c>
      <c r="X733" s="40" t="n">
        <f aca="false">E733/W733</f>
        <v>1254.06451612903</v>
      </c>
      <c r="Y733" s="39" t="n">
        <f aca="false">R733+S733+T733+U733</f>
        <v>1097779</v>
      </c>
    </row>
    <row r="734" customFormat="false" ht="15" hidden="false" customHeight="false" outlineLevel="0" collapsed="false">
      <c r="A734" s="37" t="str">
        <f aca="false">'Assumptions &amp; Data'!A868</f>
        <v>SM0664</v>
      </c>
      <c r="B734" s="37" t="str">
        <f aca="false">'Assumptions &amp; Data'!B868</f>
        <v>DS056</v>
      </c>
      <c r="C734" s="38" t="n">
        <f aca="false">'Assumptions &amp; Data'!C868</f>
        <v>46023</v>
      </c>
      <c r="D734" s="39" t="str">
        <f aca="false">INDEX('Assumptions &amp; Data'!$B$142:$B$201,MATCH(B734,'Assumptions &amp; Data'!$A$142:$A$201,0))</f>
        <v>Jaipur</v>
      </c>
      <c r="E734" s="37" t="n">
        <f aca="false">'Assumptions &amp; Data'!D868</f>
        <v>32749</v>
      </c>
      <c r="F734" s="39" t="n">
        <f aca="false">E734*'Assumptions &amp; Data'!E868</f>
        <v>18290316.5</v>
      </c>
      <c r="G734" s="39" t="n">
        <f aca="false">F734*'Assumptions &amp; Data'!F868</f>
        <v>879764.22365</v>
      </c>
      <c r="H734" s="39" t="n">
        <f aca="false">F734-G734</f>
        <v>17410552.27635</v>
      </c>
      <c r="I734" s="39" t="n">
        <f aca="false">H734*'Assumptions &amp; Data'!G868</f>
        <v>2900598.00923991</v>
      </c>
      <c r="J734" s="39" t="n">
        <f aca="false">E734*'Assumptions &amp; Data'!H868</f>
        <v>436871.66</v>
      </c>
      <c r="K734" s="39" t="n">
        <f aca="false">H734*'Assumptions &amp; Data'!I868</f>
        <v>503164.960786515</v>
      </c>
      <c r="L734" s="39" t="n">
        <f aca="false">H734*'Assumptions &amp; Data'!J868</f>
        <v>644190.43422495</v>
      </c>
      <c r="M734" s="39" t="n">
        <f aca="false">I734+J734+K734-L734</f>
        <v>3196444.19580148</v>
      </c>
      <c r="N734" s="39" t="n">
        <f aca="false">E734*'Assumptions &amp; Data'!N868</f>
        <v>1099383.93</v>
      </c>
      <c r="O734" s="39" t="n">
        <f aca="false">E734*'Assumptions &amp; Data'!O868</f>
        <v>282951.36</v>
      </c>
      <c r="P734" s="39" t="n">
        <f aca="false">H734*'Assumptions &amp; Data'!P868</f>
        <v>168882.357080595</v>
      </c>
      <c r="Q734" s="39" t="n">
        <f aca="false">M734-N734-O734-P734</f>
        <v>1645226.54872088</v>
      </c>
      <c r="R734" s="39" t="n">
        <f aca="false">'Assumptions &amp; Data'!L868*'Assumptions &amp; Data'!M868</f>
        <v>449232</v>
      </c>
      <c r="S734" s="37" t="n">
        <f aca="false">'Assumptions &amp; Data'!Q868</f>
        <v>207000</v>
      </c>
      <c r="T734" s="37" t="n">
        <f aca="false">'Assumptions &amp; Data'!R868</f>
        <v>175289</v>
      </c>
      <c r="U734" s="37" t="n">
        <f aca="false">'Assumptions &amp; Data'!S868</f>
        <v>175146</v>
      </c>
      <c r="V734" s="39" t="n">
        <f aca="false">Q734-R734-S734-T734-U734</f>
        <v>638559.54872088</v>
      </c>
      <c r="W734" s="39" t="n">
        <f aca="false">DAY(EOMONTH(C734,0))</f>
        <v>31</v>
      </c>
      <c r="X734" s="40" t="n">
        <f aca="false">E734/W734</f>
        <v>1056.41935483871</v>
      </c>
      <c r="Y734" s="39" t="n">
        <f aca="false">R734+S734+T734+U734</f>
        <v>1006667</v>
      </c>
    </row>
    <row r="735" customFormat="false" ht="15" hidden="false" customHeight="false" outlineLevel="0" collapsed="false">
      <c r="A735" s="37" t="str">
        <f aca="false">'Assumptions &amp; Data'!A869</f>
        <v>SM0665</v>
      </c>
      <c r="B735" s="37" t="str">
        <f aca="false">'Assumptions &amp; Data'!B869</f>
        <v>DS056</v>
      </c>
      <c r="C735" s="38" t="n">
        <f aca="false">'Assumptions &amp; Data'!C869</f>
        <v>46054</v>
      </c>
      <c r="D735" s="39" t="str">
        <f aca="false">INDEX('Assumptions &amp; Data'!$B$142:$B$201,MATCH(B735,'Assumptions &amp; Data'!$A$142:$A$201,0))</f>
        <v>Jaipur</v>
      </c>
      <c r="E735" s="37" t="n">
        <f aca="false">'Assumptions &amp; Data'!D869</f>
        <v>31751</v>
      </c>
      <c r="F735" s="39" t="n">
        <f aca="false">E735*'Assumptions &amp; Data'!E869</f>
        <v>17647205.8</v>
      </c>
      <c r="G735" s="39" t="n">
        <f aca="false">F735*'Assumptions &amp; Data'!F869</f>
        <v>944125.5103</v>
      </c>
      <c r="H735" s="39" t="n">
        <f aca="false">F735-G735</f>
        <v>16703080.2897</v>
      </c>
      <c r="I735" s="39" t="n">
        <f aca="false">H735*'Assumptions &amp; Data'!G869</f>
        <v>2799436.25655372</v>
      </c>
      <c r="J735" s="39" t="n">
        <f aca="false">E735*'Assumptions &amp; Data'!H869</f>
        <v>421970.79</v>
      </c>
      <c r="K735" s="39" t="n">
        <f aca="false">H735*'Assumptions &amp; Data'!I869</f>
        <v>487729.94445924</v>
      </c>
      <c r="L735" s="39" t="n">
        <f aca="false">H735*'Assumptions &amp; Data'!J869</f>
        <v>604651.50648714</v>
      </c>
      <c r="M735" s="39" t="n">
        <f aca="false">I735+J735+K735-L735</f>
        <v>3104485.48452582</v>
      </c>
      <c r="N735" s="39" t="n">
        <f aca="false">E735*'Assumptions &amp; Data'!N869</f>
        <v>1063340.99</v>
      </c>
      <c r="O735" s="39" t="n">
        <f aca="false">E735*'Assumptions &amp; Data'!O869</f>
        <v>281313.86</v>
      </c>
      <c r="P735" s="39" t="n">
        <f aca="false">H735*'Assumptions &amp; Data'!P869</f>
        <v>168701.11092597</v>
      </c>
      <c r="Q735" s="39" t="n">
        <f aca="false">M735-N735-O735-P735</f>
        <v>1591129.52359985</v>
      </c>
      <c r="R735" s="39" t="n">
        <f aca="false">'Assumptions &amp; Data'!L869*'Assumptions &amp; Data'!M869</f>
        <v>497798</v>
      </c>
      <c r="S735" s="37" t="n">
        <f aca="false">'Assumptions &amp; Data'!Q869</f>
        <v>207000</v>
      </c>
      <c r="T735" s="37" t="n">
        <f aca="false">'Assumptions &amp; Data'!R869</f>
        <v>184645</v>
      </c>
      <c r="U735" s="37" t="n">
        <f aca="false">'Assumptions &amp; Data'!S869</f>
        <v>157377</v>
      </c>
      <c r="V735" s="39" t="n">
        <f aca="false">Q735-R735-S735-T735-U735</f>
        <v>544309.52359985</v>
      </c>
      <c r="W735" s="39" t="n">
        <f aca="false">DAY(EOMONTH(C735,0))</f>
        <v>28</v>
      </c>
      <c r="X735" s="40" t="n">
        <f aca="false">E735/W735</f>
        <v>1133.96428571429</v>
      </c>
      <c r="Y735" s="39" t="n">
        <f aca="false">R735+S735+T735+U735</f>
        <v>1046820</v>
      </c>
    </row>
    <row r="736" customFormat="false" ht="15" hidden="false" customHeight="false" outlineLevel="0" collapsed="false">
      <c r="A736" s="37" t="str">
        <f aca="false">'Assumptions &amp; Data'!A870</f>
        <v>SM0666</v>
      </c>
      <c r="B736" s="37" t="str">
        <f aca="false">'Assumptions &amp; Data'!B870</f>
        <v>DS056</v>
      </c>
      <c r="C736" s="38" t="n">
        <f aca="false">'Assumptions &amp; Data'!C870</f>
        <v>46082</v>
      </c>
      <c r="D736" s="39" t="str">
        <f aca="false">INDEX('Assumptions &amp; Data'!$B$142:$B$201,MATCH(B736,'Assumptions &amp; Data'!$A$142:$A$201,0))</f>
        <v>Jaipur</v>
      </c>
      <c r="E736" s="37" t="n">
        <f aca="false">'Assumptions &amp; Data'!D870</f>
        <v>37412</v>
      </c>
      <c r="F736" s="39" t="n">
        <f aca="false">E736*'Assumptions &amp; Data'!E870</f>
        <v>21051732.4</v>
      </c>
      <c r="G736" s="39" t="n">
        <f aca="false">F736*'Assumptions &amp; Data'!F870</f>
        <v>1164160.80172</v>
      </c>
      <c r="H736" s="39" t="n">
        <f aca="false">F736-G736</f>
        <v>19887571.59828</v>
      </c>
      <c r="I736" s="39" t="n">
        <f aca="false">H736*'Assumptions &amp; Data'!G870</f>
        <v>3273494.28507689</v>
      </c>
      <c r="J736" s="39" t="n">
        <f aca="false">E736*'Assumptions &amp; Data'!H870</f>
        <v>507680.84</v>
      </c>
      <c r="K736" s="39" t="n">
        <f aca="false">H736*'Assumptions &amp; Data'!I870</f>
        <v>588672.119309088</v>
      </c>
      <c r="L736" s="39" t="n">
        <f aca="false">H736*'Assumptions &amp; Data'!J870</f>
        <v>721918.849017564</v>
      </c>
      <c r="M736" s="39" t="n">
        <f aca="false">I736+J736+K736-L736</f>
        <v>3647928.39536841</v>
      </c>
      <c r="N736" s="39" t="n">
        <f aca="false">E736*'Assumptions &amp; Data'!N870</f>
        <v>1265647.96</v>
      </c>
      <c r="O736" s="39" t="n">
        <f aca="false">E736*'Assumptions &amp; Data'!O870</f>
        <v>331096.2</v>
      </c>
      <c r="P736" s="39" t="n">
        <f aca="false">H736*'Assumptions &amp; Data'!P870</f>
        <v>200864.473142628</v>
      </c>
      <c r="Q736" s="39" t="n">
        <f aca="false">M736-N736-O736-P736</f>
        <v>1850319.76222578</v>
      </c>
      <c r="R736" s="39" t="n">
        <f aca="false">'Assumptions &amp; Data'!L870*'Assumptions &amp; Data'!M870</f>
        <v>514336</v>
      </c>
      <c r="S736" s="37" t="n">
        <f aca="false">'Assumptions &amp; Data'!Q870</f>
        <v>207000</v>
      </c>
      <c r="T736" s="37" t="n">
        <f aca="false">'Assumptions &amp; Data'!R870</f>
        <v>172667</v>
      </c>
      <c r="U736" s="37" t="n">
        <f aca="false">'Assumptions &amp; Data'!S870</f>
        <v>182692</v>
      </c>
      <c r="V736" s="39" t="n">
        <f aca="false">Q736-R736-S736-T736-U736</f>
        <v>773624.762225784</v>
      </c>
      <c r="W736" s="39" t="n">
        <f aca="false">DAY(EOMONTH(C736,0))</f>
        <v>31</v>
      </c>
      <c r="X736" s="40" t="n">
        <f aca="false">E736/W736</f>
        <v>1206.83870967742</v>
      </c>
      <c r="Y736" s="39" t="n">
        <f aca="false">R736+S736+T736+U736</f>
        <v>1076695</v>
      </c>
    </row>
    <row r="737" customFormat="false" ht="15" hidden="false" customHeight="false" outlineLevel="0" collapsed="false">
      <c r="A737" s="37" t="str">
        <f aca="false">'Assumptions &amp; Data'!A871</f>
        <v>SM0667</v>
      </c>
      <c r="B737" s="37" t="str">
        <f aca="false">'Assumptions &amp; Data'!B871</f>
        <v>DS056</v>
      </c>
      <c r="C737" s="38" t="n">
        <f aca="false">'Assumptions &amp; Data'!C871</f>
        <v>46113</v>
      </c>
      <c r="D737" s="39" t="str">
        <f aca="false">INDEX('Assumptions &amp; Data'!$B$142:$B$201,MATCH(B737,'Assumptions &amp; Data'!$A$142:$A$201,0))</f>
        <v>Jaipur</v>
      </c>
      <c r="E737" s="37" t="n">
        <f aca="false">'Assumptions &amp; Data'!D871</f>
        <v>34870</v>
      </c>
      <c r="F737" s="39" t="n">
        <f aca="false">E737*'Assumptions &amp; Data'!E871</f>
        <v>19045994</v>
      </c>
      <c r="G737" s="39" t="n">
        <f aca="false">F737*'Assumptions &amp; Data'!F871</f>
        <v>1028483.676</v>
      </c>
      <c r="H737" s="39" t="n">
        <f aca="false">F737-G737</f>
        <v>18017510.324</v>
      </c>
      <c r="I737" s="39" t="n">
        <f aca="false">H737*'Assumptions &amp; Data'!G871</f>
        <v>3061175.0040476</v>
      </c>
      <c r="J737" s="39" t="n">
        <f aca="false">E737*'Assumptions &amp; Data'!H871</f>
        <v>469001.5</v>
      </c>
      <c r="K737" s="39" t="n">
        <f aca="false">H737*'Assumptions &amp; Data'!I871</f>
        <v>524309.5504284</v>
      </c>
      <c r="L737" s="39" t="n">
        <f aca="false">H737*'Assumptions &amp; Data'!J871</f>
        <v>664846.1309556</v>
      </c>
      <c r="M737" s="39" t="n">
        <f aca="false">I737+J737+K737-L737</f>
        <v>3389639.9235204</v>
      </c>
      <c r="N737" s="39" t="n">
        <f aca="false">E737*'Assumptions &amp; Data'!N871</f>
        <v>1185580</v>
      </c>
      <c r="O737" s="39" t="n">
        <f aca="false">E737*'Assumptions &amp; Data'!O871</f>
        <v>298138.5</v>
      </c>
      <c r="P737" s="39" t="n">
        <f aca="false">H737*'Assumptions &amp; Data'!P871</f>
        <v>172968.0991104</v>
      </c>
      <c r="Q737" s="39" t="n">
        <f aca="false">M737-N737-O737-P737</f>
        <v>1732953.32441</v>
      </c>
      <c r="R737" s="39" t="n">
        <f aca="false">'Assumptions &amp; Data'!L871*'Assumptions &amp; Data'!M871</f>
        <v>498697</v>
      </c>
      <c r="S737" s="37" t="n">
        <f aca="false">'Assumptions &amp; Data'!Q871</f>
        <v>207000</v>
      </c>
      <c r="T737" s="37" t="n">
        <f aca="false">'Assumptions &amp; Data'!R871</f>
        <v>180516</v>
      </c>
      <c r="U737" s="37" t="n">
        <f aca="false">'Assumptions &amp; Data'!S871</f>
        <v>165277</v>
      </c>
      <c r="V737" s="39" t="n">
        <f aca="false">Q737-R737-S737-T737-U737</f>
        <v>681463.32441</v>
      </c>
      <c r="W737" s="39" t="n">
        <f aca="false">DAY(EOMONTH(C737,0))</f>
        <v>30</v>
      </c>
      <c r="X737" s="40" t="n">
        <f aca="false">E737/W737</f>
        <v>1162.33333333333</v>
      </c>
      <c r="Y737" s="39" t="n">
        <f aca="false">R737+S737+T737+U737</f>
        <v>1051490</v>
      </c>
    </row>
    <row r="738" customFormat="false" ht="15" hidden="false" customHeight="false" outlineLevel="0" collapsed="false">
      <c r="A738" s="37" t="str">
        <f aca="false">'Assumptions &amp; Data'!A872</f>
        <v>SM0668</v>
      </c>
      <c r="B738" s="37" t="str">
        <f aca="false">'Assumptions &amp; Data'!B872</f>
        <v>DS056</v>
      </c>
      <c r="C738" s="38" t="n">
        <f aca="false">'Assumptions &amp; Data'!C872</f>
        <v>46143</v>
      </c>
      <c r="D738" s="39" t="str">
        <f aca="false">INDEX('Assumptions &amp; Data'!$B$142:$B$201,MATCH(B738,'Assumptions &amp; Data'!$A$142:$A$201,0))</f>
        <v>Jaipur</v>
      </c>
      <c r="E738" s="37" t="n">
        <f aca="false">'Assumptions &amp; Data'!D872</f>
        <v>35866</v>
      </c>
      <c r="F738" s="39" t="n">
        <f aca="false">E738*'Assumptions &amp; Data'!E872</f>
        <v>19815965</v>
      </c>
      <c r="G738" s="39" t="n">
        <f aca="false">F738*'Assumptions &amp; Data'!F872</f>
        <v>1058172.531</v>
      </c>
      <c r="H738" s="39" t="n">
        <f aca="false">F738-G738</f>
        <v>18757792.469</v>
      </c>
      <c r="I738" s="39" t="n">
        <f aca="false">H738*'Assumptions &amp; Data'!G872</f>
        <v>3156936.4725327</v>
      </c>
      <c r="J738" s="39" t="n">
        <f aca="false">E738*'Assumptions &amp; Data'!H872</f>
        <v>483832.34</v>
      </c>
      <c r="K738" s="39" t="n">
        <f aca="false">H738*'Assumptions &amp; Data'!I872</f>
        <v>542100.2023541</v>
      </c>
      <c r="L738" s="39" t="n">
        <f aca="false">H738*'Assumptions &amp; Data'!J872</f>
        <v>686535.2043654</v>
      </c>
      <c r="M738" s="39" t="n">
        <f aca="false">I738+J738+K738-L738</f>
        <v>3496333.8105214</v>
      </c>
      <c r="N738" s="39" t="n">
        <f aca="false">E738*'Assumptions &amp; Data'!N872</f>
        <v>1225899.88</v>
      </c>
      <c r="O738" s="39" t="n">
        <f aca="false">E738*'Assumptions &amp; Data'!O872</f>
        <v>313468.84</v>
      </c>
      <c r="P738" s="39" t="n">
        <f aca="false">H738*'Assumptions &amp; Data'!P872</f>
        <v>180074.8077024</v>
      </c>
      <c r="Q738" s="39" t="n">
        <f aca="false">M738-N738-O738-P738</f>
        <v>1776890.282819</v>
      </c>
      <c r="R738" s="39" t="n">
        <f aca="false">'Assumptions &amp; Data'!L872*'Assumptions &amp; Data'!M872</f>
        <v>499162</v>
      </c>
      <c r="S738" s="37" t="n">
        <f aca="false">'Assumptions &amp; Data'!Q872</f>
        <v>207000</v>
      </c>
      <c r="T738" s="37" t="n">
        <f aca="false">'Assumptions &amp; Data'!R872</f>
        <v>175745</v>
      </c>
      <c r="U738" s="37" t="n">
        <f aca="false">'Assumptions &amp; Data'!S872</f>
        <v>154689</v>
      </c>
      <c r="V738" s="39" t="n">
        <f aca="false">Q738-R738-S738-T738-U738</f>
        <v>740294.282819</v>
      </c>
      <c r="W738" s="39" t="n">
        <f aca="false">DAY(EOMONTH(C738,0))</f>
        <v>31</v>
      </c>
      <c r="X738" s="40" t="n">
        <f aca="false">E738/W738</f>
        <v>1156.96774193548</v>
      </c>
      <c r="Y738" s="39" t="n">
        <f aca="false">R738+S738+T738+U738</f>
        <v>1036596</v>
      </c>
    </row>
    <row r="739" customFormat="false" ht="15" hidden="false" customHeight="false" outlineLevel="0" collapsed="false">
      <c r="A739" s="37" t="str">
        <f aca="false">'Assumptions &amp; Data'!A873</f>
        <v>SM0669</v>
      </c>
      <c r="B739" s="37" t="str">
        <f aca="false">'Assumptions &amp; Data'!B873</f>
        <v>DS056</v>
      </c>
      <c r="C739" s="38" t="n">
        <f aca="false">'Assumptions &amp; Data'!C873</f>
        <v>46174</v>
      </c>
      <c r="D739" s="39" t="str">
        <f aca="false">INDEX('Assumptions &amp; Data'!$B$142:$B$201,MATCH(B739,'Assumptions &amp; Data'!$A$142:$A$201,0))</f>
        <v>Jaipur</v>
      </c>
      <c r="E739" s="37" t="n">
        <f aca="false">'Assumptions &amp; Data'!D873</f>
        <v>37434</v>
      </c>
      <c r="F739" s="39" t="n">
        <f aca="false">E739*'Assumptions &amp; Data'!E873</f>
        <v>20626134</v>
      </c>
      <c r="G739" s="39" t="n">
        <f aca="false">F739*'Assumptions &amp; Data'!F873</f>
        <v>1089059.8752</v>
      </c>
      <c r="H739" s="39" t="n">
        <f aca="false">F739-G739</f>
        <v>19537074.1248</v>
      </c>
      <c r="I739" s="39" t="n">
        <f aca="false">H739*'Assumptions &amp; Data'!G873</f>
        <v>3241200.59730432</v>
      </c>
      <c r="J739" s="39" t="n">
        <f aca="false">E739*'Assumptions &amp; Data'!H873</f>
        <v>521455.62</v>
      </c>
      <c r="K739" s="39" t="n">
        <f aca="false">H739*'Assumptions &amp; Data'!I873</f>
        <v>605649.2978688</v>
      </c>
      <c r="L739" s="39" t="n">
        <f aca="false">H739*'Assumptions &amp; Data'!J873</f>
        <v>726779.15744256</v>
      </c>
      <c r="M739" s="39" t="n">
        <f aca="false">I739+J739+K739-L739</f>
        <v>3641526.35773056</v>
      </c>
      <c r="N739" s="39" t="n">
        <f aca="false">E739*'Assumptions &amp; Data'!N873</f>
        <v>1267889.58</v>
      </c>
      <c r="O739" s="39" t="n">
        <f aca="false">E739*'Assumptions &amp; Data'!O873</f>
        <v>329044.86</v>
      </c>
      <c r="P739" s="39" t="n">
        <f aca="false">H739*'Assumptions &amp; Data'!P873</f>
        <v>199278.15607296</v>
      </c>
      <c r="Q739" s="39" t="n">
        <f aca="false">M739-N739-O739-P739</f>
        <v>1845313.7616576</v>
      </c>
      <c r="R739" s="39" t="n">
        <f aca="false">'Assumptions &amp; Data'!L873*'Assumptions &amp; Data'!M873</f>
        <v>531828</v>
      </c>
      <c r="S739" s="37" t="n">
        <f aca="false">'Assumptions &amp; Data'!Q873</f>
        <v>207000</v>
      </c>
      <c r="T739" s="37" t="n">
        <f aca="false">'Assumptions &amp; Data'!R873</f>
        <v>175421</v>
      </c>
      <c r="U739" s="37" t="n">
        <f aca="false">'Assumptions &amp; Data'!S873</f>
        <v>176565</v>
      </c>
      <c r="V739" s="39" t="n">
        <f aca="false">Q739-R739-S739-T739-U739</f>
        <v>754499.761657601</v>
      </c>
      <c r="W739" s="39" t="n">
        <f aca="false">DAY(EOMONTH(C739,0))</f>
        <v>30</v>
      </c>
      <c r="X739" s="40" t="n">
        <f aca="false">E739/W739</f>
        <v>1247.8</v>
      </c>
      <c r="Y739" s="39" t="n">
        <f aca="false">R739+S739+T739+U739</f>
        <v>1090814</v>
      </c>
    </row>
    <row r="740" customFormat="false" ht="15" hidden="false" customHeight="false" outlineLevel="0" collapsed="false">
      <c r="A740" s="37" t="str">
        <f aca="false">'Assumptions &amp; Data'!A874</f>
        <v>SM0670</v>
      </c>
      <c r="B740" s="37" t="str">
        <f aca="false">'Assumptions &amp; Data'!B874</f>
        <v>DS056</v>
      </c>
      <c r="C740" s="38" t="n">
        <f aca="false">'Assumptions &amp; Data'!C874</f>
        <v>46204</v>
      </c>
      <c r="D740" s="39" t="str">
        <f aca="false">INDEX('Assumptions &amp; Data'!$B$142:$B$201,MATCH(B740,'Assumptions &amp; Data'!$A$142:$A$201,0))</f>
        <v>Jaipur</v>
      </c>
      <c r="E740" s="37" t="n">
        <f aca="false">'Assumptions &amp; Data'!D874</f>
        <v>34834</v>
      </c>
      <c r="F740" s="39" t="n">
        <f aca="false">E740*'Assumptions &amp; Data'!E874</f>
        <v>19305002.8</v>
      </c>
      <c r="G740" s="39" t="n">
        <f aca="false">F740*'Assumptions &amp; Data'!F874</f>
        <v>913126.63244</v>
      </c>
      <c r="H740" s="39" t="n">
        <f aca="false">F740-G740</f>
        <v>18391876.16756</v>
      </c>
      <c r="I740" s="39" t="n">
        <f aca="false">H740*'Assumptions &amp; Data'!G874</f>
        <v>3126618.9484852</v>
      </c>
      <c r="J740" s="39" t="n">
        <f aca="false">E740*'Assumptions &amp; Data'!H874</f>
        <v>478619.16</v>
      </c>
      <c r="K740" s="39" t="n">
        <f aca="false">H740*'Assumptions &amp; Data'!I874</f>
        <v>566469.785960848</v>
      </c>
      <c r="L740" s="39" t="n">
        <f aca="false">H740*'Assumptions &amp; Data'!J874</f>
        <v>697052.106750524</v>
      </c>
      <c r="M740" s="39" t="n">
        <f aca="false">I740+J740+K740-L740</f>
        <v>3474655.78769552</v>
      </c>
      <c r="N740" s="39" t="n">
        <f aca="false">E740*'Assumptions &amp; Data'!N874</f>
        <v>1168680.7</v>
      </c>
      <c r="O740" s="39" t="n">
        <f aca="false">E740*'Assumptions &amp; Data'!O874</f>
        <v>300269.08</v>
      </c>
      <c r="P740" s="39" t="n">
        <f aca="false">H740*'Assumptions &amp; Data'!P874</f>
        <v>176562.011208576</v>
      </c>
      <c r="Q740" s="39" t="n">
        <f aca="false">M740-N740-O740-P740</f>
        <v>1829143.99648695</v>
      </c>
      <c r="R740" s="39" t="n">
        <f aca="false">'Assumptions &amp; Data'!L874*'Assumptions &amp; Data'!M874</f>
        <v>483930</v>
      </c>
      <c r="S740" s="37" t="n">
        <f aca="false">'Assumptions &amp; Data'!Q874</f>
        <v>207000</v>
      </c>
      <c r="T740" s="37" t="n">
        <f aca="false">'Assumptions &amp; Data'!R874</f>
        <v>180006</v>
      </c>
      <c r="U740" s="37" t="n">
        <f aca="false">'Assumptions &amp; Data'!S874</f>
        <v>146680</v>
      </c>
      <c r="V740" s="39" t="n">
        <f aca="false">Q740-R740-S740-T740-U740</f>
        <v>811527.996486948</v>
      </c>
      <c r="W740" s="39" t="n">
        <f aca="false">DAY(EOMONTH(C740,0))</f>
        <v>31</v>
      </c>
      <c r="X740" s="40" t="n">
        <f aca="false">E740/W740</f>
        <v>1123.67741935484</v>
      </c>
      <c r="Y740" s="39" t="n">
        <f aca="false">R740+S740+T740+U740</f>
        <v>1017616</v>
      </c>
    </row>
    <row r="741" customFormat="false" ht="15" hidden="false" customHeight="false" outlineLevel="0" collapsed="false">
      <c r="A741" s="37" t="str">
        <f aca="false">'Assumptions &amp; Data'!A875</f>
        <v>SM0671</v>
      </c>
      <c r="B741" s="37" t="str">
        <f aca="false">'Assumptions &amp; Data'!B875</f>
        <v>DS056</v>
      </c>
      <c r="C741" s="38" t="n">
        <f aca="false">'Assumptions &amp; Data'!C875</f>
        <v>46235</v>
      </c>
      <c r="D741" s="39" t="str">
        <f aca="false">INDEX('Assumptions &amp; Data'!$B$142:$B$201,MATCH(B741,'Assumptions &amp; Data'!$A$142:$A$201,0))</f>
        <v>Jaipur</v>
      </c>
      <c r="E741" s="37" t="n">
        <f aca="false">'Assumptions &amp; Data'!D875</f>
        <v>36775</v>
      </c>
      <c r="F741" s="39" t="n">
        <f aca="false">E741*'Assumptions &amp; Data'!E875</f>
        <v>20303477.5</v>
      </c>
      <c r="G741" s="39" t="n">
        <f aca="false">F741*'Assumptions &amp; Data'!F875</f>
        <v>1019234.5705</v>
      </c>
      <c r="H741" s="39" t="n">
        <f aca="false">F741-G741</f>
        <v>19284242.9295</v>
      </c>
      <c r="I741" s="39" t="n">
        <f aca="false">H741*'Assumptions &amp; Data'!G875</f>
        <v>3241681.23644895</v>
      </c>
      <c r="J741" s="39" t="n">
        <f aca="false">E741*'Assumptions &amp; Data'!H875</f>
        <v>468513.5</v>
      </c>
      <c r="K741" s="39" t="n">
        <f aca="false">H741*'Assumptions &amp; Data'!I875</f>
        <v>568885.16642025</v>
      </c>
      <c r="L741" s="39" t="n">
        <f aca="false">H741*'Assumptions &amp; Data'!J875</f>
        <v>728944.3827351</v>
      </c>
      <c r="M741" s="39" t="n">
        <f aca="false">I741+J741+K741-L741</f>
        <v>3550135.5201341</v>
      </c>
      <c r="N741" s="39" t="n">
        <f aca="false">E741*'Assumptions &amp; Data'!N875</f>
        <v>1229020.5</v>
      </c>
      <c r="O741" s="39" t="n">
        <f aca="false">E741*'Assumptions &amp; Data'!O875</f>
        <v>319574.75</v>
      </c>
      <c r="P741" s="39" t="n">
        <f aca="false">H741*'Assumptions &amp; Data'!P875</f>
        <v>187057.15641615</v>
      </c>
      <c r="Q741" s="39" t="n">
        <f aca="false">M741-N741-O741-P741</f>
        <v>1814483.11371795</v>
      </c>
      <c r="R741" s="39" t="n">
        <f aca="false">'Assumptions &amp; Data'!L875*'Assumptions &amp; Data'!M875</f>
        <v>516640</v>
      </c>
      <c r="S741" s="37" t="n">
        <f aca="false">'Assumptions &amp; Data'!Q875</f>
        <v>207000</v>
      </c>
      <c r="T741" s="37" t="n">
        <f aca="false">'Assumptions &amp; Data'!R875</f>
        <v>185318</v>
      </c>
      <c r="U741" s="37" t="n">
        <f aca="false">'Assumptions &amp; Data'!S875</f>
        <v>162052</v>
      </c>
      <c r="V741" s="39" t="n">
        <f aca="false">Q741-R741-S741-T741-U741</f>
        <v>743473.113717949</v>
      </c>
      <c r="W741" s="39" t="n">
        <f aca="false">DAY(EOMONTH(C741,0))</f>
        <v>31</v>
      </c>
      <c r="X741" s="40" t="n">
        <f aca="false">E741/W741</f>
        <v>1186.29032258065</v>
      </c>
      <c r="Y741" s="39" t="n">
        <f aca="false">R741+S741+T741+U741</f>
        <v>1071010</v>
      </c>
    </row>
    <row r="742" customFormat="false" ht="15" hidden="false" customHeight="false" outlineLevel="0" collapsed="false">
      <c r="A742" s="37" t="str">
        <f aca="false">'Assumptions &amp; Data'!A876</f>
        <v>SM0672</v>
      </c>
      <c r="B742" s="37" t="str">
        <f aca="false">'Assumptions &amp; Data'!B876</f>
        <v>DS056</v>
      </c>
      <c r="C742" s="38" t="n">
        <f aca="false">'Assumptions &amp; Data'!C876</f>
        <v>46266</v>
      </c>
      <c r="D742" s="39" t="str">
        <f aca="false">INDEX('Assumptions &amp; Data'!$B$142:$B$201,MATCH(B742,'Assumptions &amp; Data'!$A$142:$A$201,0))</f>
        <v>Jaipur</v>
      </c>
      <c r="E742" s="37" t="n">
        <f aca="false">'Assumptions &amp; Data'!D876</f>
        <v>39247</v>
      </c>
      <c r="F742" s="39" t="n">
        <f aca="false">E742*'Assumptions &amp; Data'!E876</f>
        <v>20977521.5</v>
      </c>
      <c r="G742" s="39" t="n">
        <f aca="false">F742*'Assumptions &amp; Data'!F876</f>
        <v>1109710.88735</v>
      </c>
      <c r="H742" s="39" t="n">
        <f aca="false">F742-G742</f>
        <v>19867810.61265</v>
      </c>
      <c r="I742" s="39" t="n">
        <f aca="false">H742*'Assumptions &amp; Data'!G876</f>
        <v>3278188.75108725</v>
      </c>
      <c r="J742" s="39" t="n">
        <f aca="false">E742*'Assumptions &amp; Data'!H876</f>
        <v>511388.41</v>
      </c>
      <c r="K742" s="39" t="n">
        <f aca="false">H742*'Assumptions &amp; Data'!I876</f>
        <v>623849.25323721</v>
      </c>
      <c r="L742" s="39" t="n">
        <f aca="false">H742*'Assumptions &amp; Data'!J876</f>
        <v>745042.897974375</v>
      </c>
      <c r="M742" s="39" t="n">
        <f aca="false">I742+J742+K742-L742</f>
        <v>3668383.51635009</v>
      </c>
      <c r="N742" s="39" t="n">
        <f aca="false">E742*'Assumptions &amp; Data'!N876</f>
        <v>1329688.36</v>
      </c>
      <c r="O742" s="39" t="n">
        <f aca="false">E742*'Assumptions &amp; Data'!O876</f>
        <v>356362.76</v>
      </c>
      <c r="P742" s="39" t="n">
        <f aca="false">H742*'Assumptions &amp; Data'!P876</f>
        <v>196691.325065235</v>
      </c>
      <c r="Q742" s="39" t="n">
        <f aca="false">M742-N742-O742-P742</f>
        <v>1785641.07128485</v>
      </c>
      <c r="R742" s="39" t="n">
        <f aca="false">'Assumptions &amp; Data'!L876*'Assumptions &amp; Data'!M876</f>
        <v>565600</v>
      </c>
      <c r="S742" s="37" t="n">
        <f aca="false">'Assumptions &amp; Data'!Q876</f>
        <v>207000</v>
      </c>
      <c r="T742" s="37" t="n">
        <f aca="false">'Assumptions &amp; Data'!R876</f>
        <v>174091</v>
      </c>
      <c r="U742" s="37" t="n">
        <f aca="false">'Assumptions &amp; Data'!S876</f>
        <v>145818</v>
      </c>
      <c r="V742" s="39" t="n">
        <f aca="false">Q742-R742-S742-T742-U742</f>
        <v>693132.071284851</v>
      </c>
      <c r="W742" s="39" t="n">
        <f aca="false">DAY(EOMONTH(C742,0))</f>
        <v>30</v>
      </c>
      <c r="X742" s="40" t="n">
        <f aca="false">E742/W742</f>
        <v>1308.23333333333</v>
      </c>
      <c r="Y742" s="39" t="n">
        <f aca="false">R742+S742+T742+U742</f>
        <v>1092509</v>
      </c>
    </row>
    <row r="743" customFormat="false" ht="15" hidden="false" customHeight="false" outlineLevel="0" collapsed="false">
      <c r="A743" s="37" t="str">
        <f aca="false">'Assumptions &amp; Data'!A877</f>
        <v>SM0673</v>
      </c>
      <c r="B743" s="37" t="str">
        <f aca="false">'Assumptions &amp; Data'!B877</f>
        <v>DS057</v>
      </c>
      <c r="C743" s="38" t="n">
        <f aca="false">'Assumptions &amp; Data'!C877</f>
        <v>45931</v>
      </c>
      <c r="D743" s="39" t="str">
        <f aca="false">INDEX('Assumptions &amp; Data'!$B$142:$B$201,MATCH(B743,'Assumptions &amp; Data'!$A$142:$A$201,0))</f>
        <v>Jaipur</v>
      </c>
      <c r="E743" s="37" t="n">
        <f aca="false">'Assumptions &amp; Data'!D877</f>
        <v>34472</v>
      </c>
      <c r="F743" s="39" t="n">
        <f aca="false">E743*'Assumptions &amp; Data'!E877</f>
        <v>19390500</v>
      </c>
      <c r="G743" s="39" t="n">
        <f aca="false">F743*'Assumptions &amp; Data'!F877</f>
        <v>1027696.5</v>
      </c>
      <c r="H743" s="39" t="n">
        <f aca="false">F743-G743</f>
        <v>18362803.5</v>
      </c>
      <c r="I743" s="39" t="n">
        <f aca="false">H743*'Assumptions &amp; Data'!G877</f>
        <v>2996809.5312</v>
      </c>
      <c r="J743" s="39" t="n">
        <f aca="false">E743*'Assumptions &amp; Data'!H877</f>
        <v>410216.8</v>
      </c>
      <c r="K743" s="39" t="n">
        <f aca="false">H743*'Assumptions &amp; Data'!I877</f>
        <v>539866.4229</v>
      </c>
      <c r="L743" s="39" t="n">
        <f aca="false">H743*'Assumptions &amp; Data'!J877</f>
        <v>389291.4342</v>
      </c>
      <c r="M743" s="39" t="n">
        <f aca="false">I743+J743+K743-L743</f>
        <v>3557601.3199</v>
      </c>
      <c r="N743" s="39" t="n">
        <f aca="false">E743*'Assumptions &amp; Data'!N877</f>
        <v>1008650.72</v>
      </c>
      <c r="O743" s="39" t="n">
        <f aca="false">E743*'Assumptions &amp; Data'!O877</f>
        <v>300595.84</v>
      </c>
      <c r="P743" s="39" t="n">
        <f aca="false">H743*'Assumptions &amp; Data'!P877</f>
        <v>183628.035</v>
      </c>
      <c r="Q743" s="39" t="n">
        <f aca="false">M743-N743-O743-P743</f>
        <v>2064726.7249</v>
      </c>
      <c r="R743" s="39" t="n">
        <f aca="false">'Assumptions &amp; Data'!L877*'Assumptions &amp; Data'!M877</f>
        <v>464000</v>
      </c>
      <c r="S743" s="37" t="n">
        <f aca="false">'Assumptions &amp; Data'!Q877</f>
        <v>435000</v>
      </c>
      <c r="T743" s="37" t="n">
        <f aca="false">'Assumptions &amp; Data'!R877</f>
        <v>192719</v>
      </c>
      <c r="U743" s="37" t="n">
        <f aca="false">'Assumptions &amp; Data'!S877</f>
        <v>161662</v>
      </c>
      <c r="V743" s="39" t="n">
        <f aca="false">Q743-R743-S743-T743-U743</f>
        <v>811345.7249</v>
      </c>
      <c r="W743" s="39" t="n">
        <f aca="false">DAY(EOMONTH(C743,0))</f>
        <v>31</v>
      </c>
      <c r="X743" s="40" t="n">
        <f aca="false">E743/W743</f>
        <v>1112</v>
      </c>
      <c r="Y743" s="39" t="n">
        <f aca="false">R743+S743+T743+U743</f>
        <v>1253381</v>
      </c>
    </row>
    <row r="744" customFormat="false" ht="15" hidden="false" customHeight="false" outlineLevel="0" collapsed="false">
      <c r="A744" s="37" t="str">
        <f aca="false">'Assumptions &amp; Data'!A878</f>
        <v>SM0674</v>
      </c>
      <c r="B744" s="37" t="str">
        <f aca="false">'Assumptions &amp; Data'!B878</f>
        <v>DS057</v>
      </c>
      <c r="C744" s="38" t="n">
        <f aca="false">'Assumptions &amp; Data'!C878</f>
        <v>45962</v>
      </c>
      <c r="D744" s="39" t="str">
        <f aca="false">INDEX('Assumptions &amp; Data'!$B$142:$B$201,MATCH(B744,'Assumptions &amp; Data'!$A$142:$A$201,0))</f>
        <v>Jaipur</v>
      </c>
      <c r="E744" s="37" t="n">
        <f aca="false">'Assumptions &amp; Data'!D878</f>
        <v>31205</v>
      </c>
      <c r="F744" s="39" t="n">
        <f aca="false">E744*'Assumptions &amp; Data'!E878</f>
        <v>18176912.5</v>
      </c>
      <c r="G744" s="39" t="n">
        <f aca="false">F744*'Assumptions &amp; Data'!F878</f>
        <v>885215.63875</v>
      </c>
      <c r="H744" s="39" t="n">
        <f aca="false">F744-G744</f>
        <v>17291696.86125</v>
      </c>
      <c r="I744" s="39" t="n">
        <f aca="false">H744*'Assumptions &amp; Data'!G878</f>
        <v>2809900.73995313</v>
      </c>
      <c r="J744" s="39" t="n">
        <f aca="false">E744*'Assumptions &amp; Data'!H878</f>
        <v>408785.5</v>
      </c>
      <c r="K744" s="39" t="n">
        <f aca="false">H744*'Assumptions &amp; Data'!I878</f>
        <v>541230.111757125</v>
      </c>
      <c r="L744" s="39" t="n">
        <f aca="false">H744*'Assumptions &amp; Data'!J878</f>
        <v>357938.125027875</v>
      </c>
      <c r="M744" s="39" t="n">
        <f aca="false">I744+J744+K744-L744</f>
        <v>3401978.22668237</v>
      </c>
      <c r="N744" s="39" t="n">
        <f aca="false">E744*'Assumptions &amp; Data'!N878</f>
        <v>938022.3</v>
      </c>
      <c r="O744" s="39" t="n">
        <f aca="false">E744*'Assumptions &amp; Data'!O878</f>
        <v>280845</v>
      </c>
      <c r="P744" s="39" t="n">
        <f aca="false">H744*'Assumptions &amp; Data'!P878</f>
        <v>162541.95049575</v>
      </c>
      <c r="Q744" s="39" t="n">
        <f aca="false">M744-N744-O744-P744</f>
        <v>2020568.97618663</v>
      </c>
      <c r="R744" s="39" t="n">
        <f aca="false">'Assumptions &amp; Data'!L878*'Assumptions &amp; Data'!M878</f>
        <v>432405</v>
      </c>
      <c r="S744" s="37" t="n">
        <f aca="false">'Assumptions &amp; Data'!Q878</f>
        <v>435000</v>
      </c>
      <c r="T744" s="37" t="n">
        <f aca="false">'Assumptions &amp; Data'!R878</f>
        <v>197852</v>
      </c>
      <c r="U744" s="37" t="n">
        <f aca="false">'Assumptions &amp; Data'!S878</f>
        <v>146541</v>
      </c>
      <c r="V744" s="39" t="n">
        <f aca="false">Q744-R744-S744-T744-U744</f>
        <v>808770.976186625</v>
      </c>
      <c r="W744" s="39" t="n">
        <f aca="false">DAY(EOMONTH(C744,0))</f>
        <v>30</v>
      </c>
      <c r="X744" s="40" t="n">
        <f aca="false">E744/W744</f>
        <v>1040.16666666667</v>
      </c>
      <c r="Y744" s="39" t="n">
        <f aca="false">R744+S744+T744+U744</f>
        <v>1211798</v>
      </c>
    </row>
    <row r="745" customFormat="false" ht="15" hidden="false" customHeight="false" outlineLevel="0" collapsed="false">
      <c r="A745" s="37" t="str">
        <f aca="false">'Assumptions &amp; Data'!A879</f>
        <v>SM0675</v>
      </c>
      <c r="B745" s="37" t="str">
        <f aca="false">'Assumptions &amp; Data'!B879</f>
        <v>DS057</v>
      </c>
      <c r="C745" s="38" t="n">
        <f aca="false">'Assumptions &amp; Data'!C879</f>
        <v>45992</v>
      </c>
      <c r="D745" s="39" t="str">
        <f aca="false">INDEX('Assumptions &amp; Data'!$B$142:$B$201,MATCH(B745,'Assumptions &amp; Data'!$A$142:$A$201,0))</f>
        <v>Jaipur</v>
      </c>
      <c r="E745" s="37" t="n">
        <f aca="false">'Assumptions &amp; Data'!D879</f>
        <v>33419</v>
      </c>
      <c r="F745" s="39" t="n">
        <f aca="false">E745*'Assumptions &amp; Data'!E879</f>
        <v>18981992</v>
      </c>
      <c r="G745" s="39" t="n">
        <f aca="false">F745*'Assumptions &amp; Data'!F879</f>
        <v>954794.1976</v>
      </c>
      <c r="H745" s="39" t="n">
        <f aca="false">F745-G745</f>
        <v>18027197.8024</v>
      </c>
      <c r="I745" s="39" t="n">
        <f aca="false">H745*'Assumptions &amp; Data'!G879</f>
        <v>3044793.70882536</v>
      </c>
      <c r="J745" s="39" t="n">
        <f aca="false">E745*'Assumptions &amp; Data'!H879</f>
        <v>428097.39</v>
      </c>
      <c r="K745" s="39" t="n">
        <f aca="false">H745*'Assumptions &amp; Data'!I879</f>
        <v>508366.97802768</v>
      </c>
      <c r="L745" s="39" t="n">
        <f aca="false">H745*'Assumptions &amp; Data'!J879</f>
        <v>400203.79121328</v>
      </c>
      <c r="M745" s="39" t="n">
        <f aca="false">I745+J745+K745-L745</f>
        <v>3581054.28563976</v>
      </c>
      <c r="N745" s="39" t="n">
        <f aca="false">E745*'Assumptions &amp; Data'!N879</f>
        <v>977839.94</v>
      </c>
      <c r="O745" s="39" t="n">
        <f aca="false">E745*'Assumptions &amp; Data'!O879</f>
        <v>296092.34</v>
      </c>
      <c r="P745" s="39" t="n">
        <f aca="false">H745*'Assumptions &amp; Data'!P879</f>
        <v>178469.25824376</v>
      </c>
      <c r="Q745" s="39" t="n">
        <f aca="false">M745-N745-O745-P745</f>
        <v>2128652.747396</v>
      </c>
      <c r="R745" s="39" t="n">
        <f aca="false">'Assumptions &amp; Data'!L879*'Assumptions &amp; Data'!M879</f>
        <v>480870</v>
      </c>
      <c r="S745" s="37" t="n">
        <f aca="false">'Assumptions &amp; Data'!Q879</f>
        <v>435000</v>
      </c>
      <c r="T745" s="37" t="n">
        <f aca="false">'Assumptions &amp; Data'!R879</f>
        <v>195585</v>
      </c>
      <c r="U745" s="37" t="n">
        <f aca="false">'Assumptions &amp; Data'!S879</f>
        <v>152774</v>
      </c>
      <c r="V745" s="39" t="n">
        <f aca="false">Q745-R745-S745-T745-U745</f>
        <v>864423.747396</v>
      </c>
      <c r="W745" s="39" t="n">
        <f aca="false">DAY(EOMONTH(C745,0))</f>
        <v>31</v>
      </c>
      <c r="X745" s="40" t="n">
        <f aca="false">E745/W745</f>
        <v>1078.03225806452</v>
      </c>
      <c r="Y745" s="39" t="n">
        <f aca="false">R745+S745+T745+U745</f>
        <v>1264229</v>
      </c>
    </row>
    <row r="746" customFormat="false" ht="15" hidden="false" customHeight="false" outlineLevel="0" collapsed="false">
      <c r="A746" s="37" t="str">
        <f aca="false">'Assumptions &amp; Data'!A880</f>
        <v>SM0676</v>
      </c>
      <c r="B746" s="37" t="str">
        <f aca="false">'Assumptions &amp; Data'!B880</f>
        <v>DS057</v>
      </c>
      <c r="C746" s="38" t="n">
        <f aca="false">'Assumptions &amp; Data'!C880</f>
        <v>46023</v>
      </c>
      <c r="D746" s="39" t="str">
        <f aca="false">INDEX('Assumptions &amp; Data'!$B$142:$B$201,MATCH(B746,'Assumptions &amp; Data'!$A$142:$A$201,0))</f>
        <v>Jaipur</v>
      </c>
      <c r="E746" s="37" t="n">
        <f aca="false">'Assumptions &amp; Data'!D880</f>
        <v>29378</v>
      </c>
      <c r="F746" s="39" t="n">
        <f aca="false">E746*'Assumptions &amp; Data'!E880</f>
        <v>17115622.8</v>
      </c>
      <c r="G746" s="39" t="n">
        <f aca="false">F746*'Assumptions &amp; Data'!F880</f>
        <v>883166.13648</v>
      </c>
      <c r="H746" s="39" t="n">
        <f aca="false">F746-G746</f>
        <v>16232456.66352</v>
      </c>
      <c r="I746" s="39" t="n">
        <f aca="false">H746*'Assumptions &amp; Data'!G880</f>
        <v>2676732.10381445</v>
      </c>
      <c r="J746" s="39" t="n">
        <f aca="false">E746*'Assumptions &amp; Data'!H880</f>
        <v>381914</v>
      </c>
      <c r="K746" s="39" t="n">
        <f aca="false">H746*'Assumptions &amp; Data'!I880</f>
        <v>459378.523577616</v>
      </c>
      <c r="L746" s="39" t="n">
        <f aca="false">H746*'Assumptions &amp; Data'!J880</f>
        <v>370100.011928256</v>
      </c>
      <c r="M746" s="39" t="n">
        <f aca="false">I746+J746+K746-L746</f>
        <v>3147924.61546381</v>
      </c>
      <c r="N746" s="39" t="n">
        <f aca="false">E746*'Assumptions &amp; Data'!N880</f>
        <v>868413.68</v>
      </c>
      <c r="O746" s="39" t="n">
        <f aca="false">E746*'Assumptions &amp; Data'!O880</f>
        <v>253532.14</v>
      </c>
      <c r="P746" s="39" t="n">
        <f aca="false">H746*'Assumptions &amp; Data'!P880</f>
        <v>159078.075302496</v>
      </c>
      <c r="Q746" s="39" t="n">
        <f aca="false">M746-N746-O746-P746</f>
        <v>1866900.72016131</v>
      </c>
      <c r="R746" s="39" t="n">
        <f aca="false">'Assumptions &amp; Data'!L880*'Assumptions &amp; Data'!M880</f>
        <v>433188</v>
      </c>
      <c r="S746" s="37" t="n">
        <f aca="false">'Assumptions &amp; Data'!Q880</f>
        <v>435000</v>
      </c>
      <c r="T746" s="37" t="n">
        <f aca="false">'Assumptions &amp; Data'!R880</f>
        <v>189457</v>
      </c>
      <c r="U746" s="37" t="n">
        <f aca="false">'Assumptions &amp; Data'!S880</f>
        <v>120291</v>
      </c>
      <c r="V746" s="39" t="n">
        <f aca="false">Q746-R746-S746-T746-U746</f>
        <v>688964.720161312</v>
      </c>
      <c r="W746" s="39" t="n">
        <f aca="false">DAY(EOMONTH(C746,0))</f>
        <v>31</v>
      </c>
      <c r="X746" s="40" t="n">
        <f aca="false">E746/W746</f>
        <v>947.677419354839</v>
      </c>
      <c r="Y746" s="39" t="n">
        <f aca="false">R746+S746+T746+U746</f>
        <v>1177936</v>
      </c>
    </row>
    <row r="747" customFormat="false" ht="15" hidden="false" customHeight="false" outlineLevel="0" collapsed="false">
      <c r="A747" s="37" t="str">
        <f aca="false">'Assumptions &amp; Data'!A881</f>
        <v>SM0677</v>
      </c>
      <c r="B747" s="37" t="str">
        <f aca="false">'Assumptions &amp; Data'!B881</f>
        <v>DS057</v>
      </c>
      <c r="C747" s="38" t="n">
        <f aca="false">'Assumptions &amp; Data'!C881</f>
        <v>46054</v>
      </c>
      <c r="D747" s="39" t="str">
        <f aca="false">INDEX('Assumptions &amp; Data'!$B$142:$B$201,MATCH(B747,'Assumptions &amp; Data'!$A$142:$A$201,0))</f>
        <v>Jaipur</v>
      </c>
      <c r="E747" s="37" t="n">
        <f aca="false">'Assumptions &amp; Data'!D881</f>
        <v>29200</v>
      </c>
      <c r="F747" s="39" t="n">
        <f aca="false">E747*'Assumptions &amp; Data'!E881</f>
        <v>16667360</v>
      </c>
      <c r="G747" s="39" t="n">
        <f aca="false">F747*'Assumptions &amp; Data'!F881</f>
        <v>871702.928</v>
      </c>
      <c r="H747" s="39" t="n">
        <f aca="false">F747-G747</f>
        <v>15795657.072</v>
      </c>
      <c r="I747" s="39" t="n">
        <f aca="false">H747*'Assumptions &amp; Data'!G881</f>
        <v>2637874.731024</v>
      </c>
      <c r="J747" s="39" t="n">
        <f aca="false">E747*'Assumptions &amp; Data'!H881</f>
        <v>347480</v>
      </c>
      <c r="K747" s="39" t="n">
        <f aca="false">H747*'Assumptions &amp; Data'!I881</f>
        <v>439119.2666016</v>
      </c>
      <c r="L747" s="39" t="n">
        <f aca="false">H747*'Assumptions &amp; Data'!J881</f>
        <v>353822.7184128</v>
      </c>
      <c r="M747" s="39" t="n">
        <f aca="false">I747+J747+K747-L747</f>
        <v>3070651.2792128</v>
      </c>
      <c r="N747" s="39" t="n">
        <f aca="false">E747*'Assumptions &amp; Data'!N881</f>
        <v>859356</v>
      </c>
      <c r="O747" s="39" t="n">
        <f aca="false">E747*'Assumptions &amp; Data'!O881</f>
        <v>257544</v>
      </c>
      <c r="P747" s="39" t="n">
        <f aca="false">H747*'Assumptions &amp; Data'!P881</f>
        <v>154797.4393056</v>
      </c>
      <c r="Q747" s="39" t="n">
        <f aca="false">M747-N747-O747-P747</f>
        <v>1798953.8399072</v>
      </c>
      <c r="R747" s="39" t="n">
        <f aca="false">'Assumptions &amp; Data'!L881*'Assumptions &amp; Data'!M881</f>
        <v>465682</v>
      </c>
      <c r="S747" s="37" t="n">
        <f aca="false">'Assumptions &amp; Data'!Q881</f>
        <v>435000</v>
      </c>
      <c r="T747" s="37" t="n">
        <f aca="false">'Assumptions &amp; Data'!R881</f>
        <v>192226</v>
      </c>
      <c r="U747" s="37" t="n">
        <f aca="false">'Assumptions &amp; Data'!S881</f>
        <v>104458</v>
      </c>
      <c r="V747" s="39" t="n">
        <f aca="false">Q747-R747-S747-T747-U747</f>
        <v>601587.8399072</v>
      </c>
      <c r="W747" s="39" t="n">
        <f aca="false">DAY(EOMONTH(C747,0))</f>
        <v>28</v>
      </c>
      <c r="X747" s="40" t="n">
        <f aca="false">E747/W747</f>
        <v>1042.85714285714</v>
      </c>
      <c r="Y747" s="39" t="n">
        <f aca="false">R747+S747+T747+U747</f>
        <v>1197366</v>
      </c>
    </row>
    <row r="748" customFormat="false" ht="15" hidden="false" customHeight="false" outlineLevel="0" collapsed="false">
      <c r="A748" s="37" t="str">
        <f aca="false">'Assumptions &amp; Data'!A882</f>
        <v>SM0678</v>
      </c>
      <c r="B748" s="37" t="str">
        <f aca="false">'Assumptions &amp; Data'!B882</f>
        <v>DS057</v>
      </c>
      <c r="C748" s="38" t="n">
        <f aca="false">'Assumptions &amp; Data'!C882</f>
        <v>46082</v>
      </c>
      <c r="D748" s="39" t="str">
        <f aca="false">INDEX('Assumptions &amp; Data'!$B$142:$B$201,MATCH(B748,'Assumptions &amp; Data'!$A$142:$A$201,0))</f>
        <v>Jaipur</v>
      </c>
      <c r="E748" s="37" t="n">
        <f aca="false">'Assumptions &amp; Data'!D882</f>
        <v>32919</v>
      </c>
      <c r="F748" s="39" t="n">
        <f aca="false">E748*'Assumptions &amp; Data'!E882</f>
        <v>18879046.5</v>
      </c>
      <c r="G748" s="39" t="n">
        <f aca="false">F748*'Assumptions &amp; Data'!F882</f>
        <v>977934.6087</v>
      </c>
      <c r="H748" s="39" t="n">
        <f aca="false">F748-G748</f>
        <v>17901111.8913</v>
      </c>
      <c r="I748" s="39" t="n">
        <f aca="false">H748*'Assumptions &amp; Data'!G882</f>
        <v>2903560.34876886</v>
      </c>
      <c r="J748" s="39" t="n">
        <f aca="false">E748*'Assumptions &amp; Data'!H882</f>
        <v>420375.63</v>
      </c>
      <c r="K748" s="39" t="n">
        <f aca="false">H748*'Assumptions &amp; Data'!I882</f>
        <v>492280.57701075</v>
      </c>
      <c r="L748" s="39" t="n">
        <f aca="false">H748*'Assumptions &amp; Data'!J882</f>
        <v>406355.23993251</v>
      </c>
      <c r="M748" s="39" t="n">
        <f aca="false">I748+J748+K748-L748</f>
        <v>3409861.3158471</v>
      </c>
      <c r="N748" s="39" t="n">
        <f aca="false">E748*'Assumptions &amp; Data'!N882</f>
        <v>952017.48</v>
      </c>
      <c r="O748" s="39" t="n">
        <f aca="false">E748*'Assumptions &amp; Data'!O882</f>
        <v>289358.01</v>
      </c>
      <c r="P748" s="39" t="n">
        <f aca="false">H748*'Assumptions &amp; Data'!P882</f>
        <v>173640.78534561</v>
      </c>
      <c r="Q748" s="39" t="n">
        <f aca="false">M748-N748-O748-P748</f>
        <v>1994845.04050149</v>
      </c>
      <c r="R748" s="39" t="n">
        <f aca="false">'Assumptions &amp; Data'!L882*'Assumptions &amp; Data'!M882</f>
        <v>466117</v>
      </c>
      <c r="S748" s="37" t="n">
        <f aca="false">'Assumptions &amp; Data'!Q882</f>
        <v>435000</v>
      </c>
      <c r="T748" s="37" t="n">
        <f aca="false">'Assumptions &amp; Data'!R882</f>
        <v>185476</v>
      </c>
      <c r="U748" s="37" t="n">
        <f aca="false">'Assumptions &amp; Data'!S882</f>
        <v>139354</v>
      </c>
      <c r="V748" s="39" t="n">
        <f aca="false">Q748-R748-S748-T748-U748</f>
        <v>768898.04050149</v>
      </c>
      <c r="W748" s="39" t="n">
        <f aca="false">DAY(EOMONTH(C748,0))</f>
        <v>31</v>
      </c>
      <c r="X748" s="40" t="n">
        <f aca="false">E748/W748</f>
        <v>1061.90322580645</v>
      </c>
      <c r="Y748" s="39" t="n">
        <f aca="false">R748+S748+T748+U748</f>
        <v>1225947</v>
      </c>
    </row>
    <row r="749" customFormat="false" ht="15" hidden="false" customHeight="false" outlineLevel="0" collapsed="false">
      <c r="A749" s="37" t="str">
        <f aca="false">'Assumptions &amp; Data'!A883</f>
        <v>SM0679</v>
      </c>
      <c r="B749" s="37" t="str">
        <f aca="false">'Assumptions &amp; Data'!B883</f>
        <v>DS057</v>
      </c>
      <c r="C749" s="38" t="n">
        <f aca="false">'Assumptions &amp; Data'!C883</f>
        <v>46113</v>
      </c>
      <c r="D749" s="39" t="str">
        <f aca="false">INDEX('Assumptions &amp; Data'!$B$142:$B$201,MATCH(B749,'Assumptions &amp; Data'!$A$142:$A$201,0))</f>
        <v>Jaipur</v>
      </c>
      <c r="E749" s="37" t="n">
        <f aca="false">'Assumptions &amp; Data'!D883</f>
        <v>31819</v>
      </c>
      <c r="F749" s="39" t="n">
        <f aca="false">E749*'Assumptions &amp; Data'!E883</f>
        <v>18397745.8</v>
      </c>
      <c r="G749" s="39" t="n">
        <f aca="false">F749*'Assumptions &amp; Data'!F883</f>
        <v>1019235.11732</v>
      </c>
      <c r="H749" s="39" t="n">
        <f aca="false">F749-G749</f>
        <v>17378510.68268</v>
      </c>
      <c r="I749" s="39" t="n">
        <f aca="false">H749*'Assumptions &amp; Data'!G883</f>
        <v>2888308.47546142</v>
      </c>
      <c r="J749" s="39" t="n">
        <f aca="false">E749*'Assumptions &amp; Data'!H883</f>
        <v>370691.35</v>
      </c>
      <c r="K749" s="39" t="n">
        <f aca="false">H749*'Assumptions &amp; Data'!I883</f>
        <v>514403.916207328</v>
      </c>
      <c r="L749" s="39" t="n">
        <f aca="false">H749*'Assumptions &amp; Data'!J883</f>
        <v>368424.426472816</v>
      </c>
      <c r="M749" s="39" t="n">
        <f aca="false">I749+J749+K749-L749</f>
        <v>3404979.31519593</v>
      </c>
      <c r="N749" s="39" t="n">
        <f aca="false">E749*'Assumptions &amp; Data'!N883</f>
        <v>935796.79</v>
      </c>
      <c r="O749" s="39" t="n">
        <f aca="false">E749*'Assumptions &amp; Data'!O883</f>
        <v>278734.44</v>
      </c>
      <c r="P749" s="39" t="n">
        <f aca="false">H749*'Assumptions &amp; Data'!P883</f>
        <v>182474.36216814</v>
      </c>
      <c r="Q749" s="39" t="n">
        <f aca="false">M749-N749-O749-P749</f>
        <v>2007973.72302779</v>
      </c>
      <c r="R749" s="39" t="n">
        <f aca="false">'Assumptions &amp; Data'!L883*'Assumptions &amp; Data'!M883</f>
        <v>466523</v>
      </c>
      <c r="S749" s="37" t="n">
        <f aca="false">'Assumptions &amp; Data'!Q883</f>
        <v>435000</v>
      </c>
      <c r="T749" s="37" t="n">
        <f aca="false">'Assumptions &amp; Data'!R883</f>
        <v>184089</v>
      </c>
      <c r="U749" s="37" t="n">
        <f aca="false">'Assumptions &amp; Data'!S883</f>
        <v>139329</v>
      </c>
      <c r="V749" s="39" t="n">
        <f aca="false">Q749-R749-S749-T749-U749</f>
        <v>783032.723027787</v>
      </c>
      <c r="W749" s="39" t="n">
        <f aca="false">DAY(EOMONTH(C749,0))</f>
        <v>30</v>
      </c>
      <c r="X749" s="40" t="n">
        <f aca="false">E749/W749</f>
        <v>1060.63333333333</v>
      </c>
      <c r="Y749" s="39" t="n">
        <f aca="false">R749+S749+T749+U749</f>
        <v>1224941</v>
      </c>
    </row>
    <row r="750" customFormat="false" ht="15" hidden="false" customHeight="false" outlineLevel="0" collapsed="false">
      <c r="A750" s="37" t="str">
        <f aca="false">'Assumptions &amp; Data'!A884</f>
        <v>SM0680</v>
      </c>
      <c r="B750" s="37" t="str">
        <f aca="false">'Assumptions &amp; Data'!B884</f>
        <v>DS057</v>
      </c>
      <c r="C750" s="38" t="n">
        <f aca="false">'Assumptions &amp; Data'!C884</f>
        <v>46143</v>
      </c>
      <c r="D750" s="39" t="str">
        <f aca="false">INDEX('Assumptions &amp; Data'!$B$142:$B$201,MATCH(B750,'Assumptions &amp; Data'!$A$142:$A$201,0))</f>
        <v>Jaipur</v>
      </c>
      <c r="E750" s="37" t="n">
        <f aca="false">'Assumptions &amp; Data'!D884</f>
        <v>34831</v>
      </c>
      <c r="F750" s="39" t="n">
        <f aca="false">E750*'Assumptions &amp; Data'!E884</f>
        <v>20160182.8</v>
      </c>
      <c r="G750" s="39" t="n">
        <f aca="false">F750*'Assumptions &amp; Data'!F884</f>
        <v>1018089.2314</v>
      </c>
      <c r="H750" s="39" t="n">
        <f aca="false">F750-G750</f>
        <v>19142093.5686</v>
      </c>
      <c r="I750" s="39" t="n">
        <f aca="false">H750*'Assumptions &amp; Data'!G884</f>
        <v>3146960.18267784</v>
      </c>
      <c r="J750" s="39" t="n">
        <f aca="false">E750*'Assumptions &amp; Data'!H884</f>
        <v>438173.98</v>
      </c>
      <c r="K750" s="39" t="n">
        <f aca="false">H750*'Assumptions &amp; Data'!I884</f>
        <v>580005.43512858</v>
      </c>
      <c r="L750" s="39" t="n">
        <f aca="false">H750*'Assumptions &amp; Data'!J884</f>
        <v>411555.0117249</v>
      </c>
      <c r="M750" s="39" t="n">
        <f aca="false">I750+J750+K750-L750</f>
        <v>3753584.58608152</v>
      </c>
      <c r="N750" s="39" t="n">
        <f aca="false">E750*'Assumptions &amp; Data'!N884</f>
        <v>1020548.3</v>
      </c>
      <c r="O750" s="39" t="n">
        <f aca="false">E750*'Assumptions &amp; Data'!O884</f>
        <v>301288.15</v>
      </c>
      <c r="P750" s="39" t="n">
        <f aca="false">H750*'Assumptions &amp; Data'!P884</f>
        <v>185678.30761542</v>
      </c>
      <c r="Q750" s="39" t="n">
        <f aca="false">M750-N750-O750-P750</f>
        <v>2246069.8284661</v>
      </c>
      <c r="R750" s="39" t="n">
        <f aca="false">'Assumptions &amp; Data'!L884*'Assumptions &amp; Data'!M884</f>
        <v>483060</v>
      </c>
      <c r="S750" s="37" t="n">
        <f aca="false">'Assumptions &amp; Data'!Q884</f>
        <v>435000</v>
      </c>
      <c r="T750" s="37" t="n">
        <f aca="false">'Assumptions &amp; Data'!R884</f>
        <v>200186</v>
      </c>
      <c r="U750" s="37" t="n">
        <f aca="false">'Assumptions &amp; Data'!S884</f>
        <v>135530</v>
      </c>
      <c r="V750" s="39" t="n">
        <f aca="false">Q750-R750-S750-T750-U750</f>
        <v>992293.828466099</v>
      </c>
      <c r="W750" s="39" t="n">
        <f aca="false">DAY(EOMONTH(C750,0))</f>
        <v>31</v>
      </c>
      <c r="X750" s="40" t="n">
        <f aca="false">E750/W750</f>
        <v>1123.58064516129</v>
      </c>
      <c r="Y750" s="39" t="n">
        <f aca="false">R750+S750+T750+U750</f>
        <v>1253776</v>
      </c>
    </row>
    <row r="751" customFormat="false" ht="15" hidden="false" customHeight="false" outlineLevel="0" collapsed="false">
      <c r="A751" s="37" t="str">
        <f aca="false">'Assumptions &amp; Data'!A885</f>
        <v>SM0681</v>
      </c>
      <c r="B751" s="37" t="str">
        <f aca="false">'Assumptions &amp; Data'!B885</f>
        <v>DS057</v>
      </c>
      <c r="C751" s="38" t="n">
        <f aca="false">'Assumptions &amp; Data'!C885</f>
        <v>46174</v>
      </c>
      <c r="D751" s="39" t="str">
        <f aca="false">INDEX('Assumptions &amp; Data'!$B$142:$B$201,MATCH(B751,'Assumptions &amp; Data'!$A$142:$A$201,0))</f>
        <v>Jaipur</v>
      </c>
      <c r="E751" s="37" t="n">
        <f aca="false">'Assumptions &amp; Data'!D885</f>
        <v>34816</v>
      </c>
      <c r="F751" s="39" t="n">
        <f aca="false">E751*'Assumptions &amp; Data'!E885</f>
        <v>20019200</v>
      </c>
      <c r="G751" s="39" t="n">
        <f aca="false">F751*'Assumptions &amp; Data'!F885</f>
        <v>1040998.4</v>
      </c>
      <c r="H751" s="39" t="n">
        <f aca="false">F751-G751</f>
        <v>18978201.6</v>
      </c>
      <c r="I751" s="39" t="n">
        <f aca="false">H751*'Assumptions &amp; Data'!G885</f>
        <v>3076366.47936</v>
      </c>
      <c r="J751" s="39" t="n">
        <f aca="false">E751*'Assumptions &amp; Data'!H885</f>
        <v>406650.88</v>
      </c>
      <c r="K751" s="39" t="n">
        <f aca="false">H751*'Assumptions &amp; Data'!I885</f>
        <v>565550.40768</v>
      </c>
      <c r="L751" s="39" t="n">
        <f aca="false">H751*'Assumptions &amp; Data'!J885</f>
        <v>415622.61504</v>
      </c>
      <c r="M751" s="39" t="n">
        <f aca="false">I751+J751+K751-L751</f>
        <v>3632945.152</v>
      </c>
      <c r="N751" s="39" t="n">
        <f aca="false">E751*'Assumptions &amp; Data'!N885</f>
        <v>1013145.6</v>
      </c>
      <c r="O751" s="39" t="n">
        <f aca="false">E751*'Assumptions &amp; Data'!O885</f>
        <v>299417.6</v>
      </c>
      <c r="P751" s="39" t="n">
        <f aca="false">H751*'Assumptions &amp; Data'!P885</f>
        <v>197373.29664</v>
      </c>
      <c r="Q751" s="39" t="n">
        <f aca="false">M751-N751-O751-P751</f>
        <v>2123008.65536</v>
      </c>
      <c r="R751" s="39" t="n">
        <f aca="false">'Assumptions &amp; Data'!L885*'Assumptions &amp; Data'!M885</f>
        <v>499596</v>
      </c>
      <c r="S751" s="37" t="n">
        <f aca="false">'Assumptions &amp; Data'!Q885</f>
        <v>435000</v>
      </c>
      <c r="T751" s="37" t="n">
        <f aca="false">'Assumptions &amp; Data'!R885</f>
        <v>194616</v>
      </c>
      <c r="U751" s="37" t="n">
        <f aca="false">'Assumptions &amp; Data'!S885</f>
        <v>129760</v>
      </c>
      <c r="V751" s="39" t="n">
        <f aca="false">Q751-R751-S751-T751-U751</f>
        <v>864036.65536</v>
      </c>
      <c r="W751" s="39" t="n">
        <f aca="false">DAY(EOMONTH(C751,0))</f>
        <v>30</v>
      </c>
      <c r="X751" s="40" t="n">
        <f aca="false">E751/W751</f>
        <v>1160.53333333333</v>
      </c>
      <c r="Y751" s="39" t="n">
        <f aca="false">R751+S751+T751+U751</f>
        <v>1258972</v>
      </c>
    </row>
    <row r="752" customFormat="false" ht="15" hidden="false" customHeight="false" outlineLevel="0" collapsed="false">
      <c r="A752" s="37" t="str">
        <f aca="false">'Assumptions &amp; Data'!A886</f>
        <v>SM0682</v>
      </c>
      <c r="B752" s="37" t="str">
        <f aca="false">'Assumptions &amp; Data'!B886</f>
        <v>DS057</v>
      </c>
      <c r="C752" s="38" t="n">
        <f aca="false">'Assumptions &amp; Data'!C886</f>
        <v>46204</v>
      </c>
      <c r="D752" s="39" t="str">
        <f aca="false">INDEX('Assumptions &amp; Data'!$B$142:$B$201,MATCH(B752,'Assumptions &amp; Data'!$A$142:$A$201,0))</f>
        <v>Jaipur</v>
      </c>
      <c r="E752" s="37" t="n">
        <f aca="false">'Assumptions &amp; Data'!D886</f>
        <v>32391</v>
      </c>
      <c r="F752" s="39" t="n">
        <f aca="false">E752*'Assumptions &amp; Data'!E886</f>
        <v>19058864.4</v>
      </c>
      <c r="G752" s="39" t="n">
        <f aca="false">F752*'Assumptions &amp; Data'!F886</f>
        <v>998684.49456</v>
      </c>
      <c r="H752" s="39" t="n">
        <f aca="false">F752-G752</f>
        <v>18060179.90544</v>
      </c>
      <c r="I752" s="39" t="n">
        <f aca="false">H752*'Assumptions &amp; Data'!G886</f>
        <v>2976317.64841651</v>
      </c>
      <c r="J752" s="39" t="n">
        <f aca="false">E752*'Assumptions &amp; Data'!H886</f>
        <v>405535.32</v>
      </c>
      <c r="K752" s="39" t="n">
        <f aca="false">H752*'Assumptions &amp; Data'!I886</f>
        <v>518327.163286128</v>
      </c>
      <c r="L752" s="39" t="n">
        <f aca="false">H752*'Assumptions &amp; Data'!J886</f>
        <v>368427.670070976</v>
      </c>
      <c r="M752" s="39" t="n">
        <f aca="false">I752+J752+K752-L752</f>
        <v>3531752.46163166</v>
      </c>
      <c r="N752" s="39" t="n">
        <f aca="false">E752*'Assumptions &amp; Data'!N886</f>
        <v>957801.87</v>
      </c>
      <c r="O752" s="39" t="n">
        <f aca="false">E752*'Assumptions &amp; Data'!O886</f>
        <v>286660.35</v>
      </c>
      <c r="P752" s="39" t="n">
        <f aca="false">H752*'Assumptions &amp; Data'!P886</f>
        <v>173377.727092224</v>
      </c>
      <c r="Q752" s="39" t="n">
        <f aca="false">M752-N752-O752-P752</f>
        <v>2113912.51453944</v>
      </c>
      <c r="R752" s="39" t="n">
        <f aca="false">'Assumptions &amp; Data'!L886*'Assumptions &amp; Data'!M886</f>
        <v>435537</v>
      </c>
      <c r="S752" s="37" t="n">
        <f aca="false">'Assumptions &amp; Data'!Q886</f>
        <v>435000</v>
      </c>
      <c r="T752" s="37" t="n">
        <f aca="false">'Assumptions &amp; Data'!R886</f>
        <v>193766</v>
      </c>
      <c r="U752" s="37" t="n">
        <f aca="false">'Assumptions &amp; Data'!S886</f>
        <v>114775</v>
      </c>
      <c r="V752" s="39" t="n">
        <f aca="false">Q752-R752-S752-T752-U752</f>
        <v>934834.514539439</v>
      </c>
      <c r="W752" s="39" t="n">
        <f aca="false">DAY(EOMONTH(C752,0))</f>
        <v>31</v>
      </c>
      <c r="X752" s="40" t="n">
        <f aca="false">E752/W752</f>
        <v>1044.87096774194</v>
      </c>
      <c r="Y752" s="39" t="n">
        <f aca="false">R752+S752+T752+U752</f>
        <v>1179078</v>
      </c>
    </row>
    <row r="753" customFormat="false" ht="15" hidden="false" customHeight="false" outlineLevel="0" collapsed="false">
      <c r="A753" s="37" t="str">
        <f aca="false">'Assumptions &amp; Data'!A887</f>
        <v>SM0683</v>
      </c>
      <c r="B753" s="37" t="str">
        <f aca="false">'Assumptions &amp; Data'!B887</f>
        <v>DS057</v>
      </c>
      <c r="C753" s="38" t="n">
        <f aca="false">'Assumptions &amp; Data'!C887</f>
        <v>46235</v>
      </c>
      <c r="D753" s="39" t="str">
        <f aca="false">INDEX('Assumptions &amp; Data'!$B$142:$B$201,MATCH(B753,'Assumptions &amp; Data'!$A$142:$A$201,0))</f>
        <v>Jaipur</v>
      </c>
      <c r="E753" s="37" t="n">
        <f aca="false">'Assumptions &amp; Data'!D887</f>
        <v>34888</v>
      </c>
      <c r="F753" s="39" t="n">
        <f aca="false">E753*'Assumptions &amp; Data'!E887</f>
        <v>19983846.4</v>
      </c>
      <c r="G753" s="39" t="n">
        <f aca="false">F753*'Assumptions &amp; Data'!F887</f>
        <v>979208.4736</v>
      </c>
      <c r="H753" s="39" t="n">
        <f aca="false">F753-G753</f>
        <v>19004637.9264</v>
      </c>
      <c r="I753" s="39" t="n">
        <f aca="false">H753*'Assumptions &amp; Data'!G887</f>
        <v>3141466.64923392</v>
      </c>
      <c r="J753" s="39" t="n">
        <f aca="false">E753*'Assumptions &amp; Data'!H887</f>
        <v>430169.04</v>
      </c>
      <c r="K753" s="39" t="n">
        <f aca="false">H753*'Assumptions &amp; Data'!I887</f>
        <v>591044.23951104</v>
      </c>
      <c r="L753" s="39" t="n">
        <f aca="false">H753*'Assumptions &amp; Data'!J887</f>
        <v>393396.00507648</v>
      </c>
      <c r="M753" s="39" t="n">
        <f aca="false">I753+J753+K753-L753</f>
        <v>3769283.92366848</v>
      </c>
      <c r="N753" s="39" t="n">
        <f aca="false">E753*'Assumptions &amp; Data'!N887</f>
        <v>1024311.68</v>
      </c>
      <c r="O753" s="39" t="n">
        <f aca="false">E753*'Assumptions &amp; Data'!O887</f>
        <v>307363.28</v>
      </c>
      <c r="P753" s="39" t="n">
        <f aca="false">H753*'Assumptions &amp; Data'!P887</f>
        <v>201449.16201984</v>
      </c>
      <c r="Q753" s="39" t="n">
        <f aca="false">M753-N753-O753-P753</f>
        <v>2236159.80164864</v>
      </c>
      <c r="R753" s="39" t="n">
        <f aca="false">'Assumptions &amp; Data'!L887*'Assumptions &amp; Data'!M887</f>
        <v>468205</v>
      </c>
      <c r="S753" s="37" t="n">
        <f aca="false">'Assumptions &amp; Data'!Q887</f>
        <v>435000</v>
      </c>
      <c r="T753" s="37" t="n">
        <f aca="false">'Assumptions &amp; Data'!R887</f>
        <v>187536</v>
      </c>
      <c r="U753" s="37" t="n">
        <f aca="false">'Assumptions &amp; Data'!S887</f>
        <v>150299</v>
      </c>
      <c r="V753" s="39" t="n">
        <f aca="false">Q753-R753-S753-T753-U753</f>
        <v>995119.80164864</v>
      </c>
      <c r="W753" s="39" t="n">
        <f aca="false">DAY(EOMONTH(C753,0))</f>
        <v>31</v>
      </c>
      <c r="X753" s="40" t="n">
        <f aca="false">E753/W753</f>
        <v>1125.41935483871</v>
      </c>
      <c r="Y753" s="39" t="n">
        <f aca="false">R753+S753+T753+U753</f>
        <v>1241040</v>
      </c>
    </row>
    <row r="754" customFormat="false" ht="15" hidden="false" customHeight="false" outlineLevel="0" collapsed="false">
      <c r="A754" s="37" t="str">
        <f aca="false">'Assumptions &amp; Data'!A888</f>
        <v>SM0684</v>
      </c>
      <c r="B754" s="37" t="str">
        <f aca="false">'Assumptions &amp; Data'!B888</f>
        <v>DS057</v>
      </c>
      <c r="C754" s="38" t="n">
        <f aca="false">'Assumptions &amp; Data'!C888</f>
        <v>46266</v>
      </c>
      <c r="D754" s="39" t="str">
        <f aca="false">INDEX('Assumptions &amp; Data'!$B$142:$B$201,MATCH(B754,'Assumptions &amp; Data'!$A$142:$A$201,0))</f>
        <v>Jaipur</v>
      </c>
      <c r="E754" s="37" t="n">
        <f aca="false">'Assumptions &amp; Data'!D888</f>
        <v>33468</v>
      </c>
      <c r="F754" s="39" t="n">
        <f aca="false">E754*'Assumptions &amp; Data'!E888</f>
        <v>18859218</v>
      </c>
      <c r="G754" s="39" t="n">
        <f aca="false">F754*'Assumptions &amp; Data'!F888</f>
        <v>1001424.4758</v>
      </c>
      <c r="H754" s="39" t="n">
        <f aca="false">F754-G754</f>
        <v>17857793.5242</v>
      </c>
      <c r="I754" s="39" t="n">
        <f aca="false">H754*'Assumptions &amp; Data'!G888</f>
        <v>2901891.4476825</v>
      </c>
      <c r="J754" s="39" t="n">
        <f aca="false">E754*'Assumptions &amp; Data'!H888</f>
        <v>427721.04</v>
      </c>
      <c r="K754" s="39" t="n">
        <f aca="false">H754*'Assumptions &amp; Data'!I888</f>
        <v>541091.14378326</v>
      </c>
      <c r="L754" s="39" t="n">
        <f aca="false">H754*'Assumptions &amp; Data'!J888</f>
        <v>410729.2510566</v>
      </c>
      <c r="M754" s="39" t="n">
        <f aca="false">I754+J754+K754-L754</f>
        <v>3459974.38040916</v>
      </c>
      <c r="N754" s="39" t="n">
        <f aca="false">E754*'Assumptions &amp; Data'!N888</f>
        <v>1007052.12</v>
      </c>
      <c r="O754" s="39" t="n">
        <f aca="false">E754*'Assumptions &amp; Data'!O888</f>
        <v>298199.88</v>
      </c>
      <c r="P754" s="39" t="n">
        <f aca="false">H754*'Assumptions &amp; Data'!P888</f>
        <v>175006.37653716</v>
      </c>
      <c r="Q754" s="39" t="n">
        <f aca="false">M754-N754-O754-P754</f>
        <v>1979716.003872</v>
      </c>
      <c r="R754" s="39" t="n">
        <f aca="false">'Assumptions &amp; Data'!L888*'Assumptions &amp; Data'!M888</f>
        <v>484800</v>
      </c>
      <c r="S754" s="37" t="n">
        <f aca="false">'Assumptions &amp; Data'!Q888</f>
        <v>435000</v>
      </c>
      <c r="T754" s="37" t="n">
        <f aca="false">'Assumptions &amp; Data'!R888</f>
        <v>185553</v>
      </c>
      <c r="U754" s="37" t="n">
        <f aca="false">'Assumptions &amp; Data'!S888</f>
        <v>134571</v>
      </c>
      <c r="V754" s="39" t="n">
        <f aca="false">Q754-R754-S754-T754-U754</f>
        <v>739792.003872</v>
      </c>
      <c r="W754" s="39" t="n">
        <f aca="false">DAY(EOMONTH(C754,0))</f>
        <v>30</v>
      </c>
      <c r="X754" s="40" t="n">
        <f aca="false">E754/W754</f>
        <v>1115.6</v>
      </c>
      <c r="Y754" s="39" t="n">
        <f aca="false">R754+S754+T754+U754</f>
        <v>1239924</v>
      </c>
    </row>
    <row r="755" customFormat="false" ht="15" hidden="false" customHeight="false" outlineLevel="0" collapsed="false">
      <c r="A755" s="37" t="str">
        <f aca="false">'Assumptions &amp; Data'!A889</f>
        <v>SM0685</v>
      </c>
      <c r="B755" s="37" t="str">
        <f aca="false">'Assumptions &amp; Data'!B889</f>
        <v>DS058</v>
      </c>
      <c r="C755" s="38" t="n">
        <f aca="false">'Assumptions &amp; Data'!C889</f>
        <v>45931</v>
      </c>
      <c r="D755" s="39" t="str">
        <f aca="false">INDEX('Assumptions &amp; Data'!$B$142:$B$201,MATCH(B755,'Assumptions &amp; Data'!$A$142:$A$201,0))</f>
        <v>Jaipur</v>
      </c>
      <c r="E755" s="37" t="n">
        <f aca="false">'Assumptions &amp; Data'!D889</f>
        <v>2855</v>
      </c>
      <c r="F755" s="39" t="n">
        <f aca="false">E755*'Assumptions &amp; Data'!E889</f>
        <v>1546839</v>
      </c>
      <c r="G755" s="39" t="n">
        <f aca="false">F755*'Assumptions &amp; Data'!F889</f>
        <v>127304.8497</v>
      </c>
      <c r="H755" s="39" t="n">
        <f aca="false">F755-G755</f>
        <v>1419534.1503</v>
      </c>
      <c r="I755" s="39" t="n">
        <f aca="false">H755*'Assumptions &amp; Data'!G889</f>
        <v>237913.92359028</v>
      </c>
      <c r="J755" s="39" t="n">
        <f aca="false">E755*'Assumptions &amp; Data'!H889</f>
        <v>37429.05</v>
      </c>
      <c r="K755" s="39" t="n">
        <f aca="false">H755*'Assumptions &amp; Data'!I889</f>
        <v>25125.75446031</v>
      </c>
      <c r="L755" s="39" t="n">
        <f aca="false">H755*'Assumptions &amp; Data'!J889</f>
        <v>64730.75725368</v>
      </c>
      <c r="M755" s="39" t="n">
        <f aca="false">I755+J755+K755-L755</f>
        <v>235737.97079691</v>
      </c>
      <c r="N755" s="39" t="n">
        <f aca="false">E755*'Assumptions &amp; Data'!N889</f>
        <v>116484</v>
      </c>
      <c r="O755" s="39" t="n">
        <f aca="false">E755*'Assumptions &amp; Data'!O889</f>
        <v>25752.1</v>
      </c>
      <c r="P755" s="39" t="n">
        <f aca="false">H755*'Assumptions &amp; Data'!P889</f>
        <v>14337.29491803</v>
      </c>
      <c r="Q755" s="39" t="n">
        <f aca="false">M755-N755-O755-P755</f>
        <v>79164.57587888</v>
      </c>
      <c r="R755" s="39" t="n">
        <f aca="false">'Assumptions &amp; Data'!L889*'Assumptions &amp; Data'!M889</f>
        <v>256000</v>
      </c>
      <c r="S755" s="37" t="n">
        <f aca="false">'Assumptions &amp; Data'!Q889</f>
        <v>365000</v>
      </c>
      <c r="T755" s="37" t="n">
        <f aca="false">'Assumptions &amp; Data'!R889</f>
        <v>186153</v>
      </c>
      <c r="U755" s="37" t="n">
        <f aca="false">'Assumptions &amp; Data'!S889</f>
        <v>49147</v>
      </c>
      <c r="V755" s="39" t="n">
        <f aca="false">Q755-R755-S755-T755-U755</f>
        <v>-777135.42412112</v>
      </c>
      <c r="W755" s="39" t="n">
        <f aca="false">DAY(EOMONTH(C755,0))</f>
        <v>31</v>
      </c>
      <c r="X755" s="40" t="n">
        <f aca="false">E755/W755</f>
        <v>92.0967741935484</v>
      </c>
      <c r="Y755" s="39" t="n">
        <f aca="false">R755+S755+T755+U755</f>
        <v>856300</v>
      </c>
    </row>
    <row r="756" customFormat="false" ht="15" hidden="false" customHeight="false" outlineLevel="0" collapsed="false">
      <c r="A756" s="37" t="str">
        <f aca="false">'Assumptions &amp; Data'!A890</f>
        <v>SM0686</v>
      </c>
      <c r="B756" s="37" t="str">
        <f aca="false">'Assumptions &amp; Data'!B890</f>
        <v>DS058</v>
      </c>
      <c r="C756" s="38" t="n">
        <f aca="false">'Assumptions &amp; Data'!C890</f>
        <v>45962</v>
      </c>
      <c r="D756" s="39" t="str">
        <f aca="false">INDEX('Assumptions &amp; Data'!$B$142:$B$201,MATCH(B756,'Assumptions &amp; Data'!$A$142:$A$201,0))</f>
        <v>Jaipur</v>
      </c>
      <c r="E756" s="37" t="n">
        <f aca="false">'Assumptions &amp; Data'!D890</f>
        <v>2719</v>
      </c>
      <c r="F756" s="39" t="n">
        <f aca="false">E756*'Assumptions &amp; Data'!E890</f>
        <v>1478320.3</v>
      </c>
      <c r="G756" s="39" t="n">
        <f aca="false">F756*'Assumptions &amp; Data'!F890</f>
        <v>117674.29588</v>
      </c>
      <c r="H756" s="39" t="n">
        <f aca="false">F756-G756</f>
        <v>1360646.00412</v>
      </c>
      <c r="I756" s="39" t="n">
        <f aca="false">H756*'Assumptions &amp; Data'!G890</f>
        <v>234711.4357107</v>
      </c>
      <c r="J756" s="39" t="n">
        <f aca="false">E756*'Assumptions &amp; Data'!H890</f>
        <v>32845.52</v>
      </c>
      <c r="K756" s="39" t="n">
        <f aca="false">H756*'Assumptions &amp; Data'!I890</f>
        <v>21498.206865096</v>
      </c>
      <c r="L756" s="39" t="n">
        <f aca="false">H756*'Assumptions &amp; Data'!J890</f>
        <v>61365.134785812</v>
      </c>
      <c r="M756" s="39" t="n">
        <f aca="false">I756+J756+K756-L756</f>
        <v>227690.027789984</v>
      </c>
      <c r="N756" s="39" t="n">
        <f aca="false">E756*'Assumptions &amp; Data'!N890</f>
        <v>110364.21</v>
      </c>
      <c r="O756" s="39" t="n">
        <f aca="false">E756*'Assumptions &amp; Data'!O890</f>
        <v>24199.1</v>
      </c>
      <c r="P756" s="39" t="n">
        <f aca="false">H756*'Assumptions &amp; Data'!P890</f>
        <v>13742.524641612</v>
      </c>
      <c r="Q756" s="39" t="n">
        <f aca="false">M756-N756-O756-P756</f>
        <v>79384.1931483719</v>
      </c>
      <c r="R756" s="39" t="n">
        <f aca="false">'Assumptions &amp; Data'!L890*'Assumptions &amp; Data'!M890</f>
        <v>256240</v>
      </c>
      <c r="S756" s="37" t="n">
        <f aca="false">'Assumptions &amp; Data'!Q890</f>
        <v>365000</v>
      </c>
      <c r="T756" s="37" t="n">
        <f aca="false">'Assumptions &amp; Data'!R890</f>
        <v>194457</v>
      </c>
      <c r="U756" s="37" t="n">
        <f aca="false">'Assumptions &amp; Data'!S890</f>
        <v>44929</v>
      </c>
      <c r="V756" s="39" t="n">
        <f aca="false">Q756-R756-S756-T756-U756</f>
        <v>-781241.806851628</v>
      </c>
      <c r="W756" s="39" t="n">
        <f aca="false">DAY(EOMONTH(C756,0))</f>
        <v>30</v>
      </c>
      <c r="X756" s="40" t="n">
        <f aca="false">E756/W756</f>
        <v>90.6333333333333</v>
      </c>
      <c r="Y756" s="39" t="n">
        <f aca="false">R756+S756+T756+U756</f>
        <v>860626</v>
      </c>
    </row>
    <row r="757" customFormat="false" ht="15" hidden="false" customHeight="false" outlineLevel="0" collapsed="false">
      <c r="A757" s="37" t="str">
        <f aca="false">'Assumptions &amp; Data'!A891</f>
        <v>SM0687</v>
      </c>
      <c r="B757" s="37" t="str">
        <f aca="false">'Assumptions &amp; Data'!B891</f>
        <v>DS058</v>
      </c>
      <c r="C757" s="38" t="n">
        <f aca="false">'Assumptions &amp; Data'!C891</f>
        <v>45992</v>
      </c>
      <c r="D757" s="39" t="str">
        <f aca="false">INDEX('Assumptions &amp; Data'!$B$142:$B$201,MATCH(B757,'Assumptions &amp; Data'!$A$142:$A$201,0))</f>
        <v>Jaipur</v>
      </c>
      <c r="E757" s="37" t="n">
        <f aca="false">'Assumptions &amp; Data'!D891</f>
        <v>2813</v>
      </c>
      <c r="F757" s="39" t="n">
        <f aca="false">E757*'Assumptions &amp; Data'!E891</f>
        <v>1503548.5</v>
      </c>
      <c r="G757" s="39" t="n">
        <f aca="false">F757*'Assumptions &amp; Data'!F891</f>
        <v>121486.7188</v>
      </c>
      <c r="H757" s="39" t="n">
        <f aca="false">F757-G757</f>
        <v>1382061.7812</v>
      </c>
      <c r="I757" s="39" t="n">
        <f aca="false">H757*'Assumptions &amp; Data'!G891</f>
        <v>231218.93599476</v>
      </c>
      <c r="J757" s="39" t="n">
        <f aca="false">E757*'Assumptions &amp; Data'!H891</f>
        <v>34374.86</v>
      </c>
      <c r="K757" s="39" t="n">
        <f aca="false">H757*'Assumptions &amp; Data'!I891</f>
        <v>23909.66881476</v>
      </c>
      <c r="L757" s="39" t="n">
        <f aca="false">H757*'Assumptions &amp; Data'!J891</f>
        <v>64404.07900392</v>
      </c>
      <c r="M757" s="39" t="n">
        <f aca="false">I757+J757+K757-L757</f>
        <v>225099.3858056</v>
      </c>
      <c r="N757" s="39" t="n">
        <f aca="false">E757*'Assumptions &amp; Data'!N891</f>
        <v>118821.12</v>
      </c>
      <c r="O757" s="39" t="n">
        <f aca="false">E757*'Assumptions &amp; Data'!O891</f>
        <v>24304.32</v>
      </c>
      <c r="P757" s="39" t="n">
        <f aca="false">H757*'Assumptions &amp; Data'!P891</f>
        <v>13544.20545576</v>
      </c>
      <c r="Q757" s="39" t="n">
        <f aca="false">M757-N757-O757-P757</f>
        <v>68429.74034984</v>
      </c>
      <c r="R757" s="39" t="n">
        <f aca="false">'Assumptions &amp; Data'!L891*'Assumptions &amp; Data'!M891</f>
        <v>256464</v>
      </c>
      <c r="S757" s="37" t="n">
        <f aca="false">'Assumptions &amp; Data'!Q891</f>
        <v>365000</v>
      </c>
      <c r="T757" s="37" t="n">
        <f aca="false">'Assumptions &amp; Data'!R891</f>
        <v>180623</v>
      </c>
      <c r="U757" s="37" t="n">
        <f aca="false">'Assumptions &amp; Data'!S891</f>
        <v>47613</v>
      </c>
      <c r="V757" s="39" t="n">
        <f aca="false">Q757-R757-S757-T757-U757</f>
        <v>-781270.25965016</v>
      </c>
      <c r="W757" s="39" t="n">
        <f aca="false">DAY(EOMONTH(C757,0))</f>
        <v>31</v>
      </c>
      <c r="X757" s="40" t="n">
        <f aca="false">E757/W757</f>
        <v>90.741935483871</v>
      </c>
      <c r="Y757" s="39" t="n">
        <f aca="false">R757+S757+T757+U757</f>
        <v>849700</v>
      </c>
    </row>
    <row r="758" customFormat="false" ht="15" hidden="false" customHeight="false" outlineLevel="0" collapsed="false">
      <c r="A758" s="37" t="str">
        <f aca="false">'Assumptions &amp; Data'!A892</f>
        <v>SM0688</v>
      </c>
      <c r="B758" s="37" t="str">
        <f aca="false">'Assumptions &amp; Data'!B892</f>
        <v>DS058</v>
      </c>
      <c r="C758" s="38" t="n">
        <f aca="false">'Assumptions &amp; Data'!C892</f>
        <v>46023</v>
      </c>
      <c r="D758" s="39" t="str">
        <f aca="false">INDEX('Assumptions &amp; Data'!$B$142:$B$201,MATCH(B758,'Assumptions &amp; Data'!$A$142:$A$201,0))</f>
        <v>Jaipur</v>
      </c>
      <c r="E758" s="37" t="n">
        <f aca="false">'Assumptions &amp; Data'!D892</f>
        <v>2537</v>
      </c>
      <c r="F758" s="39" t="n">
        <f aca="false">E758*'Assumptions &amp; Data'!E892</f>
        <v>1364906</v>
      </c>
      <c r="G758" s="39" t="n">
        <f aca="false">F758*'Assumptions &amp; Data'!F892</f>
        <v>113833.1604</v>
      </c>
      <c r="H758" s="39" t="n">
        <f aca="false">F758-G758</f>
        <v>1251072.8396</v>
      </c>
      <c r="I758" s="39" t="n">
        <f aca="false">H758*'Assumptions &amp; Data'!G892</f>
        <v>215935.17211496</v>
      </c>
      <c r="J758" s="39" t="n">
        <f aca="false">E758*'Assumptions &amp; Data'!H892</f>
        <v>32270.64</v>
      </c>
      <c r="K758" s="39" t="n">
        <f aca="false">H758*'Assumptions &amp; Data'!I892</f>
        <v>19641.84358172</v>
      </c>
      <c r="L758" s="39" t="n">
        <f aca="false">H758*'Assumptions &amp; Data'!J892</f>
        <v>57799.56518952</v>
      </c>
      <c r="M758" s="39" t="n">
        <f aca="false">I758+J758+K758-L758</f>
        <v>210048.09050716</v>
      </c>
      <c r="N758" s="39" t="n">
        <f aca="false">E758*'Assumptions &amp; Data'!N892</f>
        <v>106300.3</v>
      </c>
      <c r="O758" s="39" t="n">
        <f aca="false">E758*'Assumptions &amp; Data'!O892</f>
        <v>21488.39</v>
      </c>
      <c r="P758" s="39" t="n">
        <f aca="false">H758*'Assumptions &amp; Data'!P892</f>
        <v>12260.51382808</v>
      </c>
      <c r="Q758" s="39" t="n">
        <f aca="false">M758-N758-O758-P758</f>
        <v>69998.88667908</v>
      </c>
      <c r="R758" s="39" t="n">
        <f aca="false">'Assumptions &amp; Data'!L892*'Assumptions &amp; Data'!M892</f>
        <v>256704</v>
      </c>
      <c r="S758" s="37" t="n">
        <f aca="false">'Assumptions &amp; Data'!Q892</f>
        <v>365000</v>
      </c>
      <c r="T758" s="37" t="n">
        <f aca="false">'Assumptions &amp; Data'!R892</f>
        <v>189707</v>
      </c>
      <c r="U758" s="37" t="n">
        <f aca="false">'Assumptions &amp; Data'!S892</f>
        <v>41120</v>
      </c>
      <c r="V758" s="39" t="n">
        <f aca="false">Q758-R758-S758-T758-U758</f>
        <v>-782532.11332092</v>
      </c>
      <c r="W758" s="39" t="n">
        <f aca="false">DAY(EOMONTH(C758,0))</f>
        <v>31</v>
      </c>
      <c r="X758" s="40" t="n">
        <f aca="false">E758/W758</f>
        <v>81.8387096774194</v>
      </c>
      <c r="Y758" s="39" t="n">
        <f aca="false">R758+S758+T758+U758</f>
        <v>852531</v>
      </c>
    </row>
    <row r="759" customFormat="false" ht="15" hidden="false" customHeight="false" outlineLevel="0" collapsed="false">
      <c r="A759" s="37" t="str">
        <f aca="false">'Assumptions &amp; Data'!A893</f>
        <v>SM0689</v>
      </c>
      <c r="B759" s="37" t="str">
        <f aca="false">'Assumptions &amp; Data'!B893</f>
        <v>DS058</v>
      </c>
      <c r="C759" s="38" t="n">
        <f aca="false">'Assumptions &amp; Data'!C893</f>
        <v>46054</v>
      </c>
      <c r="D759" s="39" t="str">
        <f aca="false">INDEX('Assumptions &amp; Data'!$B$142:$B$201,MATCH(B759,'Assumptions &amp; Data'!$A$142:$A$201,0))</f>
        <v>Jaipur</v>
      </c>
      <c r="E759" s="37" t="n">
        <f aca="false">'Assumptions &amp; Data'!D893</f>
        <v>2524</v>
      </c>
      <c r="F759" s="39" t="n">
        <f aca="false">E759*'Assumptions &amp; Data'!E893</f>
        <v>1376084.8</v>
      </c>
      <c r="G759" s="39" t="n">
        <f aca="false">F759*'Assumptions &amp; Data'!F893</f>
        <v>115591.1232</v>
      </c>
      <c r="H759" s="39" t="n">
        <f aca="false">F759-G759</f>
        <v>1260493.6768</v>
      </c>
      <c r="I759" s="39" t="n">
        <f aca="false">H759*'Assumptions &amp; Data'!G893</f>
        <v>212015.03643776</v>
      </c>
      <c r="J759" s="39" t="n">
        <f aca="false">E759*'Assumptions &amp; Data'!H893</f>
        <v>32181</v>
      </c>
      <c r="K759" s="39" t="n">
        <f aca="false">H759*'Assumptions &amp; Data'!I893</f>
        <v>21176.29377024</v>
      </c>
      <c r="L759" s="39" t="n">
        <f aca="false">H759*'Assumptions &amp; Data'!J893</f>
        <v>57100.36355904</v>
      </c>
      <c r="M759" s="39" t="n">
        <f aca="false">I759+J759+K759-L759</f>
        <v>208271.96664896</v>
      </c>
      <c r="N759" s="39" t="n">
        <f aca="false">E759*'Assumptions &amp; Data'!N893</f>
        <v>102348.2</v>
      </c>
      <c r="O759" s="39" t="n">
        <f aca="false">E759*'Assumptions &amp; Data'!O893</f>
        <v>22160.72</v>
      </c>
      <c r="P759" s="39" t="n">
        <f aca="false">H759*'Assumptions &amp; Data'!P893</f>
        <v>13109.13423872</v>
      </c>
      <c r="Q759" s="39" t="n">
        <f aca="false">M759-N759-O759-P759</f>
        <v>70653.91241024</v>
      </c>
      <c r="R759" s="39" t="n">
        <f aca="false">'Assumptions &amp; Data'!L893*'Assumptions &amp; Data'!M893</f>
        <v>256928</v>
      </c>
      <c r="S759" s="37" t="n">
        <f aca="false">'Assumptions &amp; Data'!Q893</f>
        <v>365000</v>
      </c>
      <c r="T759" s="37" t="n">
        <f aca="false">'Assumptions &amp; Data'!R893</f>
        <v>186409</v>
      </c>
      <c r="U759" s="37" t="n">
        <f aca="false">'Assumptions &amp; Data'!S893</f>
        <v>41049</v>
      </c>
      <c r="V759" s="39" t="n">
        <f aca="false">Q759-R759-S759-T759-U759</f>
        <v>-778732.08758976</v>
      </c>
      <c r="W759" s="39" t="n">
        <f aca="false">DAY(EOMONTH(C759,0))</f>
        <v>28</v>
      </c>
      <c r="X759" s="40" t="n">
        <f aca="false">E759/W759</f>
        <v>90.1428571428571</v>
      </c>
      <c r="Y759" s="39" t="n">
        <f aca="false">R759+S759+T759+U759</f>
        <v>849386</v>
      </c>
    </row>
    <row r="760" customFormat="false" ht="15" hidden="false" customHeight="false" outlineLevel="0" collapsed="false">
      <c r="A760" s="37" t="str">
        <f aca="false">'Assumptions &amp; Data'!A894</f>
        <v>SM0690</v>
      </c>
      <c r="B760" s="37" t="str">
        <f aca="false">'Assumptions &amp; Data'!B894</f>
        <v>DS058</v>
      </c>
      <c r="C760" s="38" t="n">
        <f aca="false">'Assumptions &amp; Data'!C894</f>
        <v>46082</v>
      </c>
      <c r="D760" s="39" t="str">
        <f aca="false">INDEX('Assumptions &amp; Data'!$B$142:$B$201,MATCH(B760,'Assumptions &amp; Data'!$A$142:$A$201,0))</f>
        <v>Jaipur</v>
      </c>
      <c r="E760" s="37" t="n">
        <f aca="false">'Assumptions &amp; Data'!D894</f>
        <v>2862</v>
      </c>
      <c r="F760" s="39" t="n">
        <f aca="false">E760*'Assumptions &amp; Data'!E894</f>
        <v>1536607.8</v>
      </c>
      <c r="G760" s="39" t="n">
        <f aca="false">F760*'Assumptions &amp; Data'!F894</f>
        <v>127231.12584</v>
      </c>
      <c r="H760" s="39" t="n">
        <f aca="false">F760-G760</f>
        <v>1409376.67416</v>
      </c>
      <c r="I760" s="39" t="n">
        <f aca="false">H760*'Assumptions &amp; Data'!G894</f>
        <v>239734.972274616</v>
      </c>
      <c r="J760" s="39" t="n">
        <f aca="false">E760*'Assumptions &amp; Data'!H894</f>
        <v>37349.1</v>
      </c>
      <c r="K760" s="39" t="n">
        <f aca="false">H760*'Assumptions &amp; Data'!I894</f>
        <v>24805.029465216</v>
      </c>
      <c r="L760" s="39" t="n">
        <f aca="false">H760*'Assumptions &amp; Data'!J894</f>
        <v>65536.01534844</v>
      </c>
      <c r="M760" s="39" t="n">
        <f aca="false">I760+J760+K760-L760</f>
        <v>236353.086391392</v>
      </c>
      <c r="N760" s="39" t="n">
        <f aca="false">E760*'Assumptions &amp; Data'!N894</f>
        <v>117885.78</v>
      </c>
      <c r="O760" s="39" t="n">
        <f aca="false">E760*'Assumptions &amp; Data'!O894</f>
        <v>25328.7</v>
      </c>
      <c r="P760" s="39" t="n">
        <f aca="false">H760*'Assumptions &amp; Data'!P894</f>
        <v>14093.7667416</v>
      </c>
      <c r="Q760" s="39" t="n">
        <f aca="false">M760-N760-O760-P760</f>
        <v>79044.839649792</v>
      </c>
      <c r="R760" s="39" t="n">
        <f aca="false">'Assumptions &amp; Data'!L894*'Assumptions &amp; Data'!M894</f>
        <v>257168</v>
      </c>
      <c r="S760" s="37" t="n">
        <f aca="false">'Assumptions &amp; Data'!Q894</f>
        <v>365000</v>
      </c>
      <c r="T760" s="37" t="n">
        <f aca="false">'Assumptions &amp; Data'!R894</f>
        <v>195293</v>
      </c>
      <c r="U760" s="37" t="n">
        <f aca="false">'Assumptions &amp; Data'!S894</f>
        <v>46943</v>
      </c>
      <c r="V760" s="39" t="n">
        <f aca="false">Q760-R760-S760-T760-U760</f>
        <v>-785359.160350208</v>
      </c>
      <c r="W760" s="39" t="n">
        <f aca="false">DAY(EOMONTH(C760,0))</f>
        <v>31</v>
      </c>
      <c r="X760" s="40" t="n">
        <f aca="false">E760/W760</f>
        <v>92.3225806451613</v>
      </c>
      <c r="Y760" s="39" t="n">
        <f aca="false">R760+S760+T760+U760</f>
        <v>864404</v>
      </c>
    </row>
    <row r="761" customFormat="false" ht="15" hidden="false" customHeight="false" outlineLevel="0" collapsed="false">
      <c r="A761" s="37" t="str">
        <f aca="false">'Assumptions &amp; Data'!A895</f>
        <v>SM0691</v>
      </c>
      <c r="B761" s="37" t="str">
        <f aca="false">'Assumptions &amp; Data'!B895</f>
        <v>DS058</v>
      </c>
      <c r="C761" s="38" t="n">
        <f aca="false">'Assumptions &amp; Data'!C895</f>
        <v>46113</v>
      </c>
      <c r="D761" s="39" t="str">
        <f aca="false">INDEX('Assumptions &amp; Data'!$B$142:$B$201,MATCH(B761,'Assumptions &amp; Data'!$A$142:$A$201,0))</f>
        <v>Jaipur</v>
      </c>
      <c r="E761" s="37" t="n">
        <f aca="false">'Assumptions &amp; Data'!D895</f>
        <v>2835</v>
      </c>
      <c r="F761" s="39" t="n">
        <f aca="false">E761*'Assumptions &amp; Data'!E895</f>
        <v>1533451.5</v>
      </c>
      <c r="G761" s="39" t="n">
        <f aca="false">F761*'Assumptions &amp; Data'!F895</f>
        <v>123442.84575</v>
      </c>
      <c r="H761" s="39" t="n">
        <f aca="false">F761-G761</f>
        <v>1410008.65425</v>
      </c>
      <c r="I761" s="39" t="n">
        <f aca="false">H761*'Assumptions &amp; Data'!G895</f>
        <v>231100.418431575</v>
      </c>
      <c r="J761" s="39" t="n">
        <f aca="false">E761*'Assumptions &amp; Data'!H895</f>
        <v>35267.4</v>
      </c>
      <c r="K761" s="39" t="n">
        <f aca="false">H761*'Assumptions &amp; Data'!I895</f>
        <v>21714.13327545</v>
      </c>
      <c r="L761" s="39" t="n">
        <f aca="false">H761*'Assumptions &amp; Data'!J895</f>
        <v>65847.404153475</v>
      </c>
      <c r="M761" s="39" t="n">
        <f aca="false">I761+J761+K761-L761</f>
        <v>222234.54755355</v>
      </c>
      <c r="N761" s="39" t="n">
        <f aca="false">E761*'Assumptions &amp; Data'!N895</f>
        <v>115781.4</v>
      </c>
      <c r="O761" s="39" t="n">
        <f aca="false">E761*'Assumptions &amp; Data'!O895</f>
        <v>25316.55</v>
      </c>
      <c r="P761" s="39" t="n">
        <f aca="false">H761*'Assumptions &amp; Data'!P895</f>
        <v>14100.0865425</v>
      </c>
      <c r="Q761" s="39" t="n">
        <f aca="false">M761-N761-O761-P761</f>
        <v>67036.5110110499</v>
      </c>
      <c r="R761" s="39" t="n">
        <f aca="false">'Assumptions &amp; Data'!L895*'Assumptions &amp; Data'!M895</f>
        <v>257392</v>
      </c>
      <c r="S761" s="37" t="n">
        <f aca="false">'Assumptions &amp; Data'!Q895</f>
        <v>365000</v>
      </c>
      <c r="T761" s="37" t="n">
        <f aca="false">'Assumptions &amp; Data'!R895</f>
        <v>190488</v>
      </c>
      <c r="U761" s="37" t="n">
        <f aca="false">'Assumptions &amp; Data'!S895</f>
        <v>47468</v>
      </c>
      <c r="V761" s="39" t="n">
        <f aca="false">Q761-R761-S761-T761-U761</f>
        <v>-793311.48898895</v>
      </c>
      <c r="W761" s="39" t="n">
        <f aca="false">DAY(EOMONTH(C761,0))</f>
        <v>30</v>
      </c>
      <c r="X761" s="40" t="n">
        <f aca="false">E761/W761</f>
        <v>94.5</v>
      </c>
      <c r="Y761" s="39" t="n">
        <f aca="false">R761+S761+T761+U761</f>
        <v>860348</v>
      </c>
    </row>
    <row r="762" customFormat="false" ht="15" hidden="false" customHeight="false" outlineLevel="0" collapsed="false">
      <c r="A762" s="37" t="str">
        <f aca="false">'Assumptions &amp; Data'!A896</f>
        <v>SM0692</v>
      </c>
      <c r="B762" s="37" t="str">
        <f aca="false">'Assumptions &amp; Data'!B896</f>
        <v>DS058</v>
      </c>
      <c r="C762" s="38" t="n">
        <f aca="false">'Assumptions &amp; Data'!C896</f>
        <v>46143</v>
      </c>
      <c r="D762" s="39" t="str">
        <f aca="false">INDEX('Assumptions &amp; Data'!$B$142:$B$201,MATCH(B762,'Assumptions &amp; Data'!$A$142:$A$201,0))</f>
        <v>Jaipur</v>
      </c>
      <c r="E762" s="37" t="n">
        <f aca="false">'Assumptions &amp; Data'!D896</f>
        <v>2997</v>
      </c>
      <c r="F762" s="39" t="n">
        <f aca="false">E762*'Assumptions &amp; Data'!E896</f>
        <v>1615383</v>
      </c>
      <c r="G762" s="39" t="n">
        <f aca="false">F762*'Assumptions &amp; Data'!F896</f>
        <v>128099.8719</v>
      </c>
      <c r="H762" s="39" t="n">
        <f aca="false">F762-G762</f>
        <v>1487283.1281</v>
      </c>
      <c r="I762" s="39" t="n">
        <f aca="false">H762*'Assumptions &amp; Data'!G896</f>
        <v>249863.5655208</v>
      </c>
      <c r="J762" s="39" t="n">
        <f aca="false">E762*'Assumptions &amp; Data'!H896</f>
        <v>38631.33</v>
      </c>
      <c r="K762" s="39" t="n">
        <f aca="false">H762*'Assumptions &amp; Data'!I896</f>
        <v>22309.2469215</v>
      </c>
      <c r="L762" s="39" t="n">
        <f aca="false">H762*'Assumptions &amp; Data'!J896</f>
        <v>68563.75220541</v>
      </c>
      <c r="M762" s="39" t="n">
        <f aca="false">I762+J762+K762-L762</f>
        <v>242240.39023689</v>
      </c>
      <c r="N762" s="39" t="n">
        <f aca="false">E762*'Assumptions &amp; Data'!N896</f>
        <v>125484.39</v>
      </c>
      <c r="O762" s="39" t="n">
        <f aca="false">E762*'Assumptions &amp; Data'!O896</f>
        <v>25684.29</v>
      </c>
      <c r="P762" s="39" t="n">
        <f aca="false">H762*'Assumptions &amp; Data'!P896</f>
        <v>14724.10296819</v>
      </c>
      <c r="Q762" s="39" t="n">
        <f aca="false">M762-N762-O762-P762</f>
        <v>76347.6072687</v>
      </c>
      <c r="R762" s="39" t="n">
        <f aca="false">'Assumptions &amp; Data'!L896*'Assumptions &amp; Data'!M896</f>
        <v>257632</v>
      </c>
      <c r="S762" s="37" t="n">
        <f aca="false">'Assumptions &amp; Data'!Q896</f>
        <v>365000</v>
      </c>
      <c r="T762" s="37" t="n">
        <f aca="false">'Assumptions &amp; Data'!R896</f>
        <v>188501</v>
      </c>
      <c r="U762" s="37" t="n">
        <f aca="false">'Assumptions &amp; Data'!S896</f>
        <v>49462</v>
      </c>
      <c r="V762" s="39" t="n">
        <f aca="false">Q762-R762-S762-T762-U762</f>
        <v>-784247.3927313</v>
      </c>
      <c r="W762" s="39" t="n">
        <f aca="false">DAY(EOMONTH(C762,0))</f>
        <v>31</v>
      </c>
      <c r="X762" s="40" t="n">
        <f aca="false">E762/W762</f>
        <v>96.6774193548387</v>
      </c>
      <c r="Y762" s="39" t="n">
        <f aca="false">R762+S762+T762+U762</f>
        <v>860595</v>
      </c>
    </row>
    <row r="763" customFormat="false" ht="15" hidden="false" customHeight="false" outlineLevel="0" collapsed="false">
      <c r="A763" s="37" t="str">
        <f aca="false">'Assumptions &amp; Data'!A897</f>
        <v>SM0693</v>
      </c>
      <c r="B763" s="37" t="str">
        <f aca="false">'Assumptions &amp; Data'!B897</f>
        <v>DS058</v>
      </c>
      <c r="C763" s="38" t="n">
        <f aca="false">'Assumptions &amp; Data'!C897</f>
        <v>46174</v>
      </c>
      <c r="D763" s="39" t="str">
        <f aca="false">INDEX('Assumptions &amp; Data'!$B$142:$B$201,MATCH(B763,'Assumptions &amp; Data'!$A$142:$A$201,0))</f>
        <v>Jaipur</v>
      </c>
      <c r="E763" s="37" t="n">
        <f aca="false">'Assumptions &amp; Data'!D897</f>
        <v>5648</v>
      </c>
      <c r="F763" s="39" t="n">
        <f aca="false">E763*'Assumptions &amp; Data'!E897</f>
        <v>3073076.8</v>
      </c>
      <c r="G763" s="39" t="n">
        <f aca="false">F763*'Assumptions &amp; Data'!F897</f>
        <v>234475.75984</v>
      </c>
      <c r="H763" s="39" t="n">
        <f aca="false">F763-G763</f>
        <v>2838601.04016</v>
      </c>
      <c r="I763" s="39" t="n">
        <f aca="false">H763*'Assumptions &amp; Data'!G897</f>
        <v>478588.135370976</v>
      </c>
      <c r="J763" s="39" t="n">
        <f aca="false">E763*'Assumptions &amp; Data'!H897</f>
        <v>72124.96</v>
      </c>
      <c r="K763" s="39" t="n">
        <f aca="false">H763*'Assumptions &amp; Data'!I897</f>
        <v>49391.658098784</v>
      </c>
      <c r="L763" s="39" t="n">
        <f aca="false">H763*'Assumptions &amp; Data'!J897</f>
        <v>120072.823998768</v>
      </c>
      <c r="M763" s="39" t="n">
        <f aca="false">I763+J763+K763-L763</f>
        <v>480031.929470992</v>
      </c>
      <c r="N763" s="39" t="n">
        <f aca="false">E763*'Assumptions &amp; Data'!N897</f>
        <v>227501.44</v>
      </c>
      <c r="O763" s="39" t="n">
        <f aca="false">E763*'Assumptions &amp; Data'!O897</f>
        <v>50436.64</v>
      </c>
      <c r="P763" s="39" t="n">
        <f aca="false">H763*'Assumptions &amp; Data'!P897</f>
        <v>28669.870505616</v>
      </c>
      <c r="Q763" s="39" t="n">
        <f aca="false">M763-N763-O763-P763</f>
        <v>173423.978965376</v>
      </c>
      <c r="R763" s="39" t="n">
        <f aca="false">'Assumptions &amp; Data'!L897*'Assumptions &amp; Data'!M897</f>
        <v>257856</v>
      </c>
      <c r="S763" s="37" t="n">
        <f aca="false">'Assumptions &amp; Data'!Q897</f>
        <v>365000</v>
      </c>
      <c r="T763" s="37" t="n">
        <f aca="false">'Assumptions &amp; Data'!R897</f>
        <v>185211</v>
      </c>
      <c r="U763" s="37" t="n">
        <f aca="false">'Assumptions &amp; Data'!S897</f>
        <v>85373</v>
      </c>
      <c r="V763" s="39" t="n">
        <f aca="false">Q763-R763-S763-T763-U763</f>
        <v>-720016.021034624</v>
      </c>
      <c r="W763" s="39" t="n">
        <f aca="false">DAY(EOMONTH(C763,0))</f>
        <v>30</v>
      </c>
      <c r="X763" s="40" t="n">
        <f aca="false">E763/W763</f>
        <v>188.266666666667</v>
      </c>
      <c r="Y763" s="39" t="n">
        <f aca="false">R763+S763+T763+U763</f>
        <v>893440</v>
      </c>
    </row>
    <row r="764" customFormat="false" ht="15" hidden="false" customHeight="false" outlineLevel="0" collapsed="false">
      <c r="A764" s="37" t="str">
        <f aca="false">'Assumptions &amp; Data'!A898</f>
        <v>SM0694</v>
      </c>
      <c r="B764" s="37" t="str">
        <f aca="false">'Assumptions &amp; Data'!B898</f>
        <v>DS058</v>
      </c>
      <c r="C764" s="38" t="n">
        <f aca="false">'Assumptions &amp; Data'!C898</f>
        <v>46204</v>
      </c>
      <c r="D764" s="39" t="str">
        <f aca="false">INDEX('Assumptions &amp; Data'!$B$142:$B$201,MATCH(B764,'Assumptions &amp; Data'!$A$142:$A$201,0))</f>
        <v>Jaipur</v>
      </c>
      <c r="E764" s="37" t="n">
        <f aca="false">'Assumptions &amp; Data'!D898</f>
        <v>7672</v>
      </c>
      <c r="F764" s="39" t="n">
        <f aca="false">E764*'Assumptions &amp; Data'!E898</f>
        <v>4111424.8</v>
      </c>
      <c r="G764" s="39" t="n">
        <f aca="false">F764*'Assumptions &amp; Data'!F898</f>
        <v>312468.2848</v>
      </c>
      <c r="H764" s="39" t="n">
        <f aca="false">F764-G764</f>
        <v>3798956.5152</v>
      </c>
      <c r="I764" s="39" t="n">
        <f aca="false">H764*'Assumptions &amp; Data'!G898</f>
        <v>651900.93800832</v>
      </c>
      <c r="J764" s="39" t="n">
        <f aca="false">E764*'Assumptions &amp; Data'!H898</f>
        <v>97511.12</v>
      </c>
      <c r="K764" s="39" t="n">
        <f aca="false">H764*'Assumptions &amp; Data'!I898</f>
        <v>74079.6520464</v>
      </c>
      <c r="L764" s="39" t="n">
        <f aca="false">H764*'Assumptions &amp; Data'!J898</f>
        <v>161455.651896</v>
      </c>
      <c r="M764" s="39" t="n">
        <f aca="false">I764+J764+K764-L764</f>
        <v>662036.05815872</v>
      </c>
      <c r="N764" s="39" t="n">
        <f aca="false">E764*'Assumptions &amp; Data'!N898</f>
        <v>298977.84</v>
      </c>
      <c r="O764" s="39" t="n">
        <f aca="false">E764*'Assumptions &amp; Data'!O898</f>
        <v>64214.64</v>
      </c>
      <c r="P764" s="39" t="n">
        <f aca="false">H764*'Assumptions &amp; Data'!P898</f>
        <v>36090.0868944</v>
      </c>
      <c r="Q764" s="39" t="n">
        <f aca="false">M764-N764-O764-P764</f>
        <v>262753.49126432</v>
      </c>
      <c r="R764" s="39" t="n">
        <f aca="false">'Assumptions &amp; Data'!L898*'Assumptions &amp; Data'!M898</f>
        <v>258096</v>
      </c>
      <c r="S764" s="37" t="n">
        <f aca="false">'Assumptions &amp; Data'!Q898</f>
        <v>365000</v>
      </c>
      <c r="T764" s="37" t="n">
        <f aca="false">'Assumptions &amp; Data'!R898</f>
        <v>192552</v>
      </c>
      <c r="U764" s="37" t="n">
        <f aca="false">'Assumptions &amp; Data'!S898</f>
        <v>100356</v>
      </c>
      <c r="V764" s="39" t="n">
        <f aca="false">Q764-R764-S764-T764-U764</f>
        <v>-653250.50873568</v>
      </c>
      <c r="W764" s="39" t="n">
        <f aca="false">DAY(EOMONTH(C764,0))</f>
        <v>31</v>
      </c>
      <c r="X764" s="40" t="n">
        <f aca="false">E764/W764</f>
        <v>247.483870967742</v>
      </c>
      <c r="Y764" s="39" t="n">
        <f aca="false">R764+S764+T764+U764</f>
        <v>916004</v>
      </c>
    </row>
    <row r="765" customFormat="false" ht="15" hidden="false" customHeight="false" outlineLevel="0" collapsed="false">
      <c r="A765" s="37" t="str">
        <f aca="false">'Assumptions &amp; Data'!A899</f>
        <v>SM0695</v>
      </c>
      <c r="B765" s="37" t="str">
        <f aca="false">'Assumptions &amp; Data'!B899</f>
        <v>DS058</v>
      </c>
      <c r="C765" s="38" t="n">
        <f aca="false">'Assumptions &amp; Data'!C899</f>
        <v>46235</v>
      </c>
      <c r="D765" s="39" t="str">
        <f aca="false">INDEX('Assumptions &amp; Data'!$B$142:$B$201,MATCH(B765,'Assumptions &amp; Data'!$A$142:$A$201,0))</f>
        <v>Jaipur</v>
      </c>
      <c r="E765" s="37" t="n">
        <f aca="false">'Assumptions &amp; Data'!D899</f>
        <v>9233</v>
      </c>
      <c r="F765" s="39" t="n">
        <f aca="false">E765*'Assumptions &amp; Data'!E899</f>
        <v>4963660.8</v>
      </c>
      <c r="G765" s="39" t="n">
        <f aca="false">F765*'Assumptions &amp; Data'!F899</f>
        <v>359865.408</v>
      </c>
      <c r="H765" s="39" t="n">
        <f aca="false">F765-G765</f>
        <v>4603795.392</v>
      </c>
      <c r="I765" s="39" t="n">
        <f aca="false">H765*'Assumptions &amp; Data'!G899</f>
        <v>773437.625856</v>
      </c>
      <c r="J765" s="39" t="n">
        <f aca="false">E765*'Assumptions &amp; Data'!H899</f>
        <v>112734.93</v>
      </c>
      <c r="K765" s="39" t="n">
        <f aca="false">H765*'Assumptions &amp; Data'!I899</f>
        <v>88853.2510656</v>
      </c>
      <c r="L765" s="39" t="n">
        <f aca="false">H765*'Assumptions &amp; Data'!J899</f>
        <v>186453.713376</v>
      </c>
      <c r="M765" s="39" t="n">
        <f aca="false">I765+J765+K765-L765</f>
        <v>788572.0935456</v>
      </c>
      <c r="N765" s="39" t="n">
        <f aca="false">E765*'Assumptions &amp; Data'!N899</f>
        <v>358886.71</v>
      </c>
      <c r="O765" s="39" t="n">
        <f aca="false">E765*'Assumptions &amp; Data'!O899</f>
        <v>79034.48</v>
      </c>
      <c r="P765" s="39" t="n">
        <f aca="false">H765*'Assumptions &amp; Data'!P899</f>
        <v>45117.1948416</v>
      </c>
      <c r="Q765" s="39" t="n">
        <f aca="false">M765-N765-O765-P765</f>
        <v>305533.708704</v>
      </c>
      <c r="R765" s="39" t="n">
        <f aca="false">'Assumptions &amp; Data'!L899*'Assumptions &amp; Data'!M899</f>
        <v>258320</v>
      </c>
      <c r="S765" s="37" t="n">
        <f aca="false">'Assumptions &amp; Data'!Q899</f>
        <v>365000</v>
      </c>
      <c r="T765" s="37" t="n">
        <f aca="false">'Assumptions &amp; Data'!R899</f>
        <v>177806</v>
      </c>
      <c r="U765" s="37" t="n">
        <f aca="false">'Assumptions &amp; Data'!S899</f>
        <v>116733</v>
      </c>
      <c r="V765" s="39" t="n">
        <f aca="false">Q765-R765-S765-T765-U765</f>
        <v>-612325.291296</v>
      </c>
      <c r="W765" s="39" t="n">
        <f aca="false">DAY(EOMONTH(C765,0))</f>
        <v>31</v>
      </c>
      <c r="X765" s="40" t="n">
        <f aca="false">E765/W765</f>
        <v>297.838709677419</v>
      </c>
      <c r="Y765" s="39" t="n">
        <f aca="false">R765+S765+T765+U765</f>
        <v>917859</v>
      </c>
    </row>
    <row r="766" customFormat="false" ht="15" hidden="false" customHeight="false" outlineLevel="0" collapsed="false">
      <c r="A766" s="37" t="str">
        <f aca="false">'Assumptions &amp; Data'!A900</f>
        <v>SM0696</v>
      </c>
      <c r="B766" s="37" t="str">
        <f aca="false">'Assumptions &amp; Data'!B900</f>
        <v>DS058</v>
      </c>
      <c r="C766" s="38" t="n">
        <f aca="false">'Assumptions &amp; Data'!C900</f>
        <v>46266</v>
      </c>
      <c r="D766" s="39" t="str">
        <f aca="false">INDEX('Assumptions &amp; Data'!$B$142:$B$201,MATCH(B766,'Assumptions &amp; Data'!$A$142:$A$201,0))</f>
        <v>Jaipur</v>
      </c>
      <c r="E766" s="37" t="n">
        <f aca="false">'Assumptions &amp; Data'!D900</f>
        <v>11113</v>
      </c>
      <c r="F766" s="39" t="n">
        <f aca="false">E766*'Assumptions &amp; Data'!E900</f>
        <v>5976571.4</v>
      </c>
      <c r="G766" s="39" t="n">
        <f aca="false">F766*'Assumptions &amp; Data'!F900</f>
        <v>402223.25522</v>
      </c>
      <c r="H766" s="39" t="n">
        <f aca="false">F766-G766</f>
        <v>5574348.14478</v>
      </c>
      <c r="I766" s="39" t="n">
        <f aca="false">H766*'Assumptions &amp; Data'!G900</f>
        <v>953770.967571858</v>
      </c>
      <c r="J766" s="39" t="n">
        <f aca="false">E766*'Assumptions &amp; Data'!H900</f>
        <v>141468.49</v>
      </c>
      <c r="K766" s="39" t="n">
        <f aca="false">H766*'Assumptions &amp; Data'!I900</f>
        <v>117618.745854858</v>
      </c>
      <c r="L766" s="39" t="n">
        <f aca="false">H766*'Assumptions &amp; Data'!J900</f>
        <v>228548.27393598</v>
      </c>
      <c r="M766" s="39" t="n">
        <f aca="false">I766+J766+K766-L766</f>
        <v>984309.929490736</v>
      </c>
      <c r="N766" s="39" t="n">
        <f aca="false">E766*'Assumptions &amp; Data'!N900</f>
        <v>421071.57</v>
      </c>
      <c r="O766" s="39" t="n">
        <f aca="false">E766*'Assumptions &amp; Data'!O900</f>
        <v>97905.53</v>
      </c>
      <c r="P766" s="39" t="n">
        <f aca="false">H766*'Assumptions &amp; Data'!P900</f>
        <v>55743.4814478</v>
      </c>
      <c r="Q766" s="39" t="n">
        <f aca="false">M766-N766-O766-P766</f>
        <v>409589.348042936</v>
      </c>
      <c r="R766" s="39" t="n">
        <f aca="false">'Assumptions &amp; Data'!L900*'Assumptions &amp; Data'!M900</f>
        <v>258560</v>
      </c>
      <c r="S766" s="37" t="n">
        <f aca="false">'Assumptions &amp; Data'!Q900</f>
        <v>365000</v>
      </c>
      <c r="T766" s="37" t="n">
        <f aca="false">'Assumptions &amp; Data'!R900</f>
        <v>183951</v>
      </c>
      <c r="U766" s="37" t="n">
        <f aca="false">'Assumptions &amp; Data'!S900</f>
        <v>129179</v>
      </c>
      <c r="V766" s="39" t="n">
        <f aca="false">Q766-R766-S766-T766-U766</f>
        <v>-527100.651957064</v>
      </c>
      <c r="W766" s="39" t="n">
        <f aca="false">DAY(EOMONTH(C766,0))</f>
        <v>30</v>
      </c>
      <c r="X766" s="40" t="n">
        <f aca="false">E766/W766</f>
        <v>370.433333333333</v>
      </c>
      <c r="Y766" s="39" t="n">
        <f aca="false">R766+S766+T766+U766</f>
        <v>936690</v>
      </c>
    </row>
    <row r="767" customFormat="false" ht="15" hidden="false" customHeight="false" outlineLevel="0" collapsed="false">
      <c r="A767" s="37" t="str">
        <f aca="false">'Assumptions &amp; Data'!A901</f>
        <v>SM0697</v>
      </c>
      <c r="B767" s="37" t="str">
        <f aca="false">'Assumptions &amp; Data'!B901</f>
        <v>DS059</v>
      </c>
      <c r="C767" s="38" t="n">
        <f aca="false">'Assumptions &amp; Data'!C901</f>
        <v>45931</v>
      </c>
      <c r="D767" s="39" t="str">
        <f aca="false">INDEX('Assumptions &amp; Data'!$B$142:$B$201,MATCH(B767,'Assumptions &amp; Data'!$A$142:$A$201,0))</f>
        <v>Jaipur</v>
      </c>
      <c r="E767" s="37" t="n">
        <f aca="false">'Assumptions &amp; Data'!D901</f>
        <v>38801</v>
      </c>
      <c r="F767" s="39" t="n">
        <f aca="false">E767*'Assumptions &amp; Data'!E901</f>
        <v>21713039.6</v>
      </c>
      <c r="G767" s="39" t="n">
        <f aca="false">F767*'Assumptions &amp; Data'!F901</f>
        <v>1357064.975</v>
      </c>
      <c r="H767" s="39" t="n">
        <f aca="false">F767-G767</f>
        <v>20355974.625</v>
      </c>
      <c r="I767" s="39" t="n">
        <f aca="false">H767*'Assumptions &amp; Data'!G901</f>
        <v>3450337.6989375</v>
      </c>
      <c r="J767" s="39" t="n">
        <f aca="false">E767*'Assumptions &amp; Data'!H901</f>
        <v>484624.49</v>
      </c>
      <c r="K767" s="39" t="n">
        <f aca="false">H767*'Assumptions &amp; Data'!I901</f>
        <v>600501.2514375</v>
      </c>
      <c r="L767" s="39" t="n">
        <f aca="false">H767*'Assumptions &amp; Data'!J901</f>
        <v>333837.98385</v>
      </c>
      <c r="M767" s="39" t="n">
        <f aca="false">I767+J767+K767-L767</f>
        <v>4201625.456525</v>
      </c>
      <c r="N767" s="39" t="n">
        <f aca="false">E767*'Assumptions &amp; Data'!N901</f>
        <v>1234647.82</v>
      </c>
      <c r="O767" s="39" t="n">
        <f aca="false">E767*'Assumptions &amp; Data'!O901</f>
        <v>346492.93</v>
      </c>
      <c r="P767" s="39" t="n">
        <f aca="false">H767*'Assumptions &amp; Data'!P901</f>
        <v>197452.9538625</v>
      </c>
      <c r="Q767" s="39" t="n">
        <f aca="false">M767-N767-O767-P767</f>
        <v>2423031.7526625</v>
      </c>
      <c r="R767" s="39" t="n">
        <f aca="false">'Assumptions &amp; Data'!L901*'Assumptions &amp; Data'!M901</f>
        <v>528000</v>
      </c>
      <c r="S767" s="37" t="n">
        <f aca="false">'Assumptions &amp; Data'!Q901</f>
        <v>423500</v>
      </c>
      <c r="T767" s="37" t="n">
        <f aca="false">'Assumptions &amp; Data'!R901</f>
        <v>204782</v>
      </c>
      <c r="U767" s="37" t="n">
        <f aca="false">'Assumptions &amp; Data'!S901</f>
        <v>191585</v>
      </c>
      <c r="V767" s="39" t="n">
        <f aca="false">Q767-R767-S767-T767-U767</f>
        <v>1075164.7526625</v>
      </c>
      <c r="W767" s="39" t="n">
        <f aca="false">DAY(EOMONTH(C767,0))</f>
        <v>31</v>
      </c>
      <c r="X767" s="40" t="n">
        <f aca="false">E767/W767</f>
        <v>1251.64516129032</v>
      </c>
      <c r="Y767" s="39" t="n">
        <f aca="false">R767+S767+T767+U767</f>
        <v>1347867</v>
      </c>
    </row>
    <row r="768" customFormat="false" ht="15" hidden="false" customHeight="false" outlineLevel="0" collapsed="false">
      <c r="A768" s="37" t="str">
        <f aca="false">'Assumptions &amp; Data'!A902</f>
        <v>SM0698</v>
      </c>
      <c r="B768" s="37" t="str">
        <f aca="false">'Assumptions &amp; Data'!B902</f>
        <v>DS059</v>
      </c>
      <c r="C768" s="38" t="n">
        <f aca="false">'Assumptions &amp; Data'!C902</f>
        <v>45962</v>
      </c>
      <c r="D768" s="39" t="str">
        <f aca="false">INDEX('Assumptions &amp; Data'!$B$142:$B$201,MATCH(B768,'Assumptions &amp; Data'!$A$142:$A$201,0))</f>
        <v>Jaipur</v>
      </c>
      <c r="E768" s="37" t="n">
        <f aca="false">'Assumptions &amp; Data'!D902</f>
        <v>40421</v>
      </c>
      <c r="F768" s="39" t="n">
        <f aca="false">E768*'Assumptions &amp; Data'!E902</f>
        <v>22017318.7</v>
      </c>
      <c r="G768" s="39" t="n">
        <f aca="false">F768*'Assumptions &amp; Data'!F902</f>
        <v>1378284.15062</v>
      </c>
      <c r="H768" s="39" t="n">
        <f aca="false">F768-G768</f>
        <v>20639034.54938</v>
      </c>
      <c r="I768" s="39" t="n">
        <f aca="false">H768*'Assumptions &amp; Data'!G902</f>
        <v>3448782.6732014</v>
      </c>
      <c r="J768" s="39" t="n">
        <f aca="false">E768*'Assumptions &amp; Data'!H902</f>
        <v>515771.96</v>
      </c>
      <c r="K768" s="39" t="n">
        <f aca="false">H768*'Assumptions &amp; Data'!I902</f>
        <v>670768.62285485</v>
      </c>
      <c r="L768" s="39" t="n">
        <f aca="false">H768*'Assumptions &amp; Data'!J902</f>
        <v>400397.270257972</v>
      </c>
      <c r="M768" s="39" t="n">
        <f aca="false">I768+J768+K768-L768</f>
        <v>4234925.98579828</v>
      </c>
      <c r="N768" s="39" t="n">
        <f aca="false">E768*'Assumptions &amp; Data'!N902</f>
        <v>1304789.88</v>
      </c>
      <c r="O768" s="39" t="n">
        <f aca="false">E768*'Assumptions &amp; Data'!O902</f>
        <v>370660.57</v>
      </c>
      <c r="P768" s="39" t="n">
        <f aca="false">H768*'Assumptions &amp; Data'!P902</f>
        <v>204326.442038862</v>
      </c>
      <c r="Q768" s="39" t="n">
        <f aca="false">M768-N768-O768-P768</f>
        <v>2355149.09375942</v>
      </c>
      <c r="R768" s="39" t="n">
        <f aca="false">'Assumptions &amp; Data'!L902*'Assumptions &amp; Data'!M902</f>
        <v>560525</v>
      </c>
      <c r="S768" s="37" t="n">
        <f aca="false">'Assumptions &amp; Data'!Q902</f>
        <v>423500</v>
      </c>
      <c r="T768" s="37" t="n">
        <f aca="false">'Assumptions &amp; Data'!R902</f>
        <v>203416</v>
      </c>
      <c r="U768" s="37" t="n">
        <f aca="false">'Assumptions &amp; Data'!S902</f>
        <v>200675</v>
      </c>
      <c r="V768" s="39" t="n">
        <f aca="false">Q768-R768-S768-T768-U768</f>
        <v>967033.093759415</v>
      </c>
      <c r="W768" s="39" t="n">
        <f aca="false">DAY(EOMONTH(C768,0))</f>
        <v>30</v>
      </c>
      <c r="X768" s="40" t="n">
        <f aca="false">E768/W768</f>
        <v>1347.36666666667</v>
      </c>
      <c r="Y768" s="39" t="n">
        <f aca="false">R768+S768+T768+U768</f>
        <v>1388116</v>
      </c>
    </row>
    <row r="769" customFormat="false" ht="15" hidden="false" customHeight="false" outlineLevel="0" collapsed="false">
      <c r="A769" s="37" t="str">
        <f aca="false">'Assumptions &amp; Data'!A903</f>
        <v>SM0699</v>
      </c>
      <c r="B769" s="37" t="str">
        <f aca="false">'Assumptions &amp; Data'!B903</f>
        <v>DS059</v>
      </c>
      <c r="C769" s="38" t="n">
        <f aca="false">'Assumptions &amp; Data'!C903</f>
        <v>45992</v>
      </c>
      <c r="D769" s="39" t="str">
        <f aca="false">INDEX('Assumptions &amp; Data'!$B$142:$B$201,MATCH(B769,'Assumptions &amp; Data'!$A$142:$A$201,0))</f>
        <v>Jaipur</v>
      </c>
      <c r="E769" s="37" t="n">
        <f aca="false">'Assumptions &amp; Data'!D903</f>
        <v>41293</v>
      </c>
      <c r="F769" s="39" t="n">
        <f aca="false">E769*'Assumptions &amp; Data'!E903</f>
        <v>22496426.4</v>
      </c>
      <c r="G769" s="39" t="n">
        <f aca="false">F769*'Assumptions &amp; Data'!F903</f>
        <v>1415025.22056</v>
      </c>
      <c r="H769" s="39" t="n">
        <f aca="false">F769-G769</f>
        <v>21081401.17944</v>
      </c>
      <c r="I769" s="39" t="n">
        <f aca="false">H769*'Assumptions &amp; Data'!G903</f>
        <v>3518485.85684854</v>
      </c>
      <c r="J769" s="39" t="n">
        <f aca="false">E769*'Assumptions &amp; Data'!H903</f>
        <v>480237.59</v>
      </c>
      <c r="K769" s="39" t="n">
        <f aca="false">H769*'Assumptions &amp; Data'!I903</f>
        <v>695686.23892152</v>
      </c>
      <c r="L769" s="39" t="n">
        <f aca="false">H769*'Assumptions &amp; Data'!J903</f>
        <v>413195.463117024</v>
      </c>
      <c r="M769" s="39" t="n">
        <f aca="false">I769+J769+K769-L769</f>
        <v>4281214.22265303</v>
      </c>
      <c r="N769" s="39" t="n">
        <f aca="false">E769*'Assumptions &amp; Data'!N903</f>
        <v>1288341.6</v>
      </c>
      <c r="O769" s="39" t="n">
        <f aca="false">E769*'Assumptions &amp; Data'!O903</f>
        <v>380308.53</v>
      </c>
      <c r="P769" s="39" t="n">
        <f aca="false">H769*'Assumptions &amp; Data'!P903</f>
        <v>215030.292030288</v>
      </c>
      <c r="Q769" s="39" t="n">
        <f aca="false">M769-N769-O769-P769</f>
        <v>2397533.80062274</v>
      </c>
      <c r="R769" s="39" t="n">
        <f aca="false">'Assumptions &amp; Data'!L903*'Assumptions &amp; Data'!M903</f>
        <v>577044</v>
      </c>
      <c r="S769" s="37" t="n">
        <f aca="false">'Assumptions &amp; Data'!Q903</f>
        <v>423500</v>
      </c>
      <c r="T769" s="37" t="n">
        <f aca="false">'Assumptions &amp; Data'!R903</f>
        <v>201868</v>
      </c>
      <c r="U769" s="37" t="n">
        <f aca="false">'Assumptions &amp; Data'!S903</f>
        <v>218416</v>
      </c>
      <c r="V769" s="39" t="n">
        <f aca="false">Q769-R769-S769-T769-U769</f>
        <v>976705.800622744</v>
      </c>
      <c r="W769" s="39" t="n">
        <f aca="false">DAY(EOMONTH(C769,0))</f>
        <v>31</v>
      </c>
      <c r="X769" s="40" t="n">
        <f aca="false">E769/W769</f>
        <v>1332.03225806452</v>
      </c>
      <c r="Y769" s="39" t="n">
        <f aca="false">R769+S769+T769+U769</f>
        <v>1420828</v>
      </c>
    </row>
    <row r="770" customFormat="false" ht="15" hidden="false" customHeight="false" outlineLevel="0" collapsed="false">
      <c r="A770" s="37" t="str">
        <f aca="false">'Assumptions &amp; Data'!A904</f>
        <v>SM0700</v>
      </c>
      <c r="B770" s="37" t="str">
        <f aca="false">'Assumptions &amp; Data'!B904</f>
        <v>DS059</v>
      </c>
      <c r="C770" s="38" t="n">
        <f aca="false">'Assumptions &amp; Data'!C904</f>
        <v>46023</v>
      </c>
      <c r="D770" s="39" t="str">
        <f aca="false">INDEX('Assumptions &amp; Data'!$B$142:$B$201,MATCH(B770,'Assumptions &amp; Data'!$A$142:$A$201,0))</f>
        <v>Jaipur</v>
      </c>
      <c r="E770" s="37" t="n">
        <f aca="false">'Assumptions &amp; Data'!D904</f>
        <v>39843</v>
      </c>
      <c r="F770" s="39" t="n">
        <f aca="false">E770*'Assumptions &amp; Data'!E904</f>
        <v>21822011.1</v>
      </c>
      <c r="G770" s="39" t="n">
        <f aca="false">F770*'Assumptions &amp; Data'!F904</f>
        <v>1187117.40384</v>
      </c>
      <c r="H770" s="39" t="n">
        <f aca="false">F770-G770</f>
        <v>20634893.69616</v>
      </c>
      <c r="I770" s="39" t="n">
        <f aca="false">H770*'Assumptions &amp; Data'!G904</f>
        <v>3520312.8645649</v>
      </c>
      <c r="J770" s="39" t="n">
        <f aca="false">E770*'Assumptions &amp; Data'!H904</f>
        <v>515169.99</v>
      </c>
      <c r="K770" s="39" t="n">
        <f aca="false">H770*'Assumptions &amp; Data'!I904</f>
        <v>662380.087646736</v>
      </c>
      <c r="L770" s="39" t="n">
        <f aca="false">H770*'Assumptions &amp; Data'!J904</f>
        <v>377618.554639728</v>
      </c>
      <c r="M770" s="39" t="n">
        <f aca="false">I770+J770+K770-L770</f>
        <v>4320244.3875719</v>
      </c>
      <c r="N770" s="39" t="n">
        <f aca="false">E770*'Assumptions &amp; Data'!N904</f>
        <v>1287725.76</v>
      </c>
      <c r="O770" s="39" t="n">
        <f aca="false">E770*'Assumptions &amp; Data'!O904</f>
        <v>363368.16</v>
      </c>
      <c r="P770" s="39" t="n">
        <f aca="false">H770*'Assumptions &amp; Data'!P904</f>
        <v>204285.447591984</v>
      </c>
      <c r="Q770" s="39" t="n">
        <f aca="false">M770-N770-O770-P770</f>
        <v>2464865.01997992</v>
      </c>
      <c r="R770" s="39" t="n">
        <f aca="false">'Assumptions &amp; Data'!L904*'Assumptions &amp; Data'!M904</f>
        <v>529452</v>
      </c>
      <c r="S770" s="37" t="n">
        <f aca="false">'Assumptions &amp; Data'!Q904</f>
        <v>423500</v>
      </c>
      <c r="T770" s="37" t="n">
        <f aca="false">'Assumptions &amp; Data'!R904</f>
        <v>196669</v>
      </c>
      <c r="U770" s="37" t="n">
        <f aca="false">'Assumptions &amp; Data'!S904</f>
        <v>178482</v>
      </c>
      <c r="V770" s="39" t="n">
        <f aca="false">Q770-R770-S770-T770-U770</f>
        <v>1136762.01997992</v>
      </c>
      <c r="W770" s="39" t="n">
        <f aca="false">DAY(EOMONTH(C770,0))</f>
        <v>31</v>
      </c>
      <c r="X770" s="40" t="n">
        <f aca="false">E770/W770</f>
        <v>1285.25806451613</v>
      </c>
      <c r="Y770" s="39" t="n">
        <f aca="false">R770+S770+T770+U770</f>
        <v>1328103</v>
      </c>
    </row>
    <row r="771" customFormat="false" ht="15" hidden="false" customHeight="false" outlineLevel="0" collapsed="false">
      <c r="A771" s="37" t="str">
        <f aca="false">'Assumptions &amp; Data'!A905</f>
        <v>SM0701</v>
      </c>
      <c r="B771" s="37" t="str">
        <f aca="false">'Assumptions &amp; Data'!B905</f>
        <v>DS059</v>
      </c>
      <c r="C771" s="38" t="n">
        <f aca="false">'Assumptions &amp; Data'!C905</f>
        <v>46054</v>
      </c>
      <c r="D771" s="39" t="str">
        <f aca="false">INDEX('Assumptions &amp; Data'!$B$142:$B$201,MATCH(B771,'Assumptions &amp; Data'!$A$142:$A$201,0))</f>
        <v>Jaipur</v>
      </c>
      <c r="E771" s="37" t="n">
        <f aca="false">'Assumptions &amp; Data'!D905</f>
        <v>35814</v>
      </c>
      <c r="F771" s="39" t="n">
        <f aca="false">E771*'Assumptions &amp; Data'!E905</f>
        <v>19464909</v>
      </c>
      <c r="G771" s="39" t="n">
        <f aca="false">F771*'Assumptions &amp; Data'!F905</f>
        <v>1210717.3398</v>
      </c>
      <c r="H771" s="39" t="n">
        <f aca="false">F771-G771</f>
        <v>18254191.6602</v>
      </c>
      <c r="I771" s="39" t="n">
        <f aca="false">H771*'Assumptions &amp; Data'!G905</f>
        <v>3044799.16892136</v>
      </c>
      <c r="J771" s="39" t="n">
        <f aca="false">E771*'Assumptions &amp; Data'!H905</f>
        <v>440154.06</v>
      </c>
      <c r="K771" s="39" t="n">
        <f aca="false">H771*'Assumptions &amp; Data'!I905</f>
        <v>618817.09728078</v>
      </c>
      <c r="L771" s="39" t="n">
        <f aca="false">H771*'Assumptions &amp; Data'!J905</f>
        <v>368734.67153604</v>
      </c>
      <c r="M771" s="39" t="n">
        <f aca="false">I771+J771+K771-L771</f>
        <v>3735035.6546661</v>
      </c>
      <c r="N771" s="39" t="n">
        <f aca="false">E771*'Assumptions &amp; Data'!N905</f>
        <v>1133154.96</v>
      </c>
      <c r="O771" s="39" t="n">
        <f aca="false">E771*'Assumptions &amp; Data'!O905</f>
        <v>314805.06</v>
      </c>
      <c r="P771" s="39" t="n">
        <f aca="false">H771*'Assumptions &amp; Data'!P905</f>
        <v>175240.23993792</v>
      </c>
      <c r="Q771" s="39" t="n">
        <f aca="false">M771-N771-O771-P771</f>
        <v>2111835.39472818</v>
      </c>
      <c r="R771" s="39" t="n">
        <f aca="false">'Assumptions &amp; Data'!L905*'Assumptions &amp; Data'!M905</f>
        <v>545972</v>
      </c>
      <c r="S771" s="37" t="n">
        <f aca="false">'Assumptions &amp; Data'!Q905</f>
        <v>423500</v>
      </c>
      <c r="T771" s="37" t="n">
        <f aca="false">'Assumptions &amp; Data'!R905</f>
        <v>201518</v>
      </c>
      <c r="U771" s="37" t="n">
        <f aca="false">'Assumptions &amp; Data'!S905</f>
        <v>154182</v>
      </c>
      <c r="V771" s="39" t="n">
        <f aca="false">Q771-R771-S771-T771-U771</f>
        <v>786663.39472818</v>
      </c>
      <c r="W771" s="39" t="n">
        <f aca="false">DAY(EOMONTH(C771,0))</f>
        <v>28</v>
      </c>
      <c r="X771" s="40" t="n">
        <f aca="false">E771/W771</f>
        <v>1279.07142857143</v>
      </c>
      <c r="Y771" s="39" t="n">
        <f aca="false">R771+S771+T771+U771</f>
        <v>1325172</v>
      </c>
    </row>
    <row r="772" customFormat="false" ht="15" hidden="false" customHeight="false" outlineLevel="0" collapsed="false">
      <c r="A772" s="37" t="str">
        <f aca="false">'Assumptions &amp; Data'!A906</f>
        <v>SM0702</v>
      </c>
      <c r="B772" s="37" t="str">
        <f aca="false">'Assumptions &amp; Data'!B906</f>
        <v>DS059</v>
      </c>
      <c r="C772" s="38" t="n">
        <f aca="false">'Assumptions &amp; Data'!C906</f>
        <v>46082</v>
      </c>
      <c r="D772" s="39" t="str">
        <f aca="false">INDEX('Assumptions &amp; Data'!$B$142:$B$201,MATCH(B772,'Assumptions &amp; Data'!$A$142:$A$201,0))</f>
        <v>Jaipur</v>
      </c>
      <c r="E772" s="37" t="n">
        <f aca="false">'Assumptions &amp; Data'!D906</f>
        <v>41992</v>
      </c>
      <c r="F772" s="39" t="n">
        <f aca="false">E772*'Assumptions &amp; Data'!E906</f>
        <v>22100389.6</v>
      </c>
      <c r="G772" s="39" t="n">
        <f aca="false">F772*'Assumptions &amp; Data'!F906</f>
        <v>1348123.7656</v>
      </c>
      <c r="H772" s="39" t="n">
        <f aca="false">F772-G772</f>
        <v>20752265.8344</v>
      </c>
      <c r="I772" s="39" t="n">
        <f aca="false">H772*'Assumptions &amp; Data'!G906</f>
        <v>3444876.1285104</v>
      </c>
      <c r="J772" s="39" t="n">
        <f aca="false">E772*'Assumptions &amp; Data'!H906</f>
        <v>513142.24</v>
      </c>
      <c r="K772" s="39" t="n">
        <f aca="false">H772*'Assumptions &amp; Data'!I906</f>
        <v>653696.3737836</v>
      </c>
      <c r="L772" s="39" t="n">
        <f aca="false">H772*'Assumptions &amp; Data'!J906</f>
        <v>402593.95718736</v>
      </c>
      <c r="M772" s="39" t="n">
        <f aca="false">I772+J772+K772-L772</f>
        <v>4209120.78510664</v>
      </c>
      <c r="N772" s="39" t="n">
        <f aca="false">E772*'Assumptions &amp; Data'!N906</f>
        <v>1293353.6</v>
      </c>
      <c r="O772" s="39" t="n">
        <f aca="false">E772*'Assumptions &amp; Data'!O906</f>
        <v>355672.24</v>
      </c>
      <c r="P772" s="39" t="n">
        <f aca="false">H772*'Assumptions &amp; Data'!P906</f>
        <v>197146.5254268</v>
      </c>
      <c r="Q772" s="39" t="n">
        <f aca="false">M772-N772-O772-P772</f>
        <v>2362948.41967984</v>
      </c>
      <c r="R772" s="39" t="n">
        <f aca="false">'Assumptions &amp; Data'!L906*'Assumptions &amp; Data'!M906</f>
        <v>562555</v>
      </c>
      <c r="S772" s="37" t="n">
        <f aca="false">'Assumptions &amp; Data'!Q906</f>
        <v>423500</v>
      </c>
      <c r="T772" s="37" t="n">
        <f aca="false">'Assumptions &amp; Data'!R906</f>
        <v>200832</v>
      </c>
      <c r="U772" s="37" t="n">
        <f aca="false">'Assumptions &amp; Data'!S906</f>
        <v>172430</v>
      </c>
      <c r="V772" s="39" t="n">
        <f aca="false">Q772-R772-S772-T772-U772</f>
        <v>1003631.41967984</v>
      </c>
      <c r="W772" s="39" t="n">
        <f aca="false">DAY(EOMONTH(C772,0))</f>
        <v>31</v>
      </c>
      <c r="X772" s="40" t="n">
        <f aca="false">E772/W772</f>
        <v>1354.58064516129</v>
      </c>
      <c r="Y772" s="39" t="n">
        <f aca="false">R772+S772+T772+U772</f>
        <v>1359317</v>
      </c>
    </row>
    <row r="773" customFormat="false" ht="15" hidden="false" customHeight="false" outlineLevel="0" collapsed="false">
      <c r="A773" s="37" t="str">
        <f aca="false">'Assumptions &amp; Data'!A907</f>
        <v>SM0703</v>
      </c>
      <c r="B773" s="37" t="str">
        <f aca="false">'Assumptions &amp; Data'!B907</f>
        <v>DS059</v>
      </c>
      <c r="C773" s="38" t="n">
        <f aca="false">'Assumptions &amp; Data'!C907</f>
        <v>46113</v>
      </c>
      <c r="D773" s="39" t="str">
        <f aca="false">INDEX('Assumptions &amp; Data'!$B$142:$B$201,MATCH(B773,'Assumptions &amp; Data'!$A$142:$A$201,0))</f>
        <v>Jaipur</v>
      </c>
      <c r="E773" s="37" t="n">
        <f aca="false">'Assumptions &amp; Data'!D907</f>
        <v>44912</v>
      </c>
      <c r="F773" s="39" t="n">
        <f aca="false">E773*'Assumptions &amp; Data'!E907</f>
        <v>24544408</v>
      </c>
      <c r="G773" s="39" t="n">
        <f aca="false">F773*'Assumptions &amp; Data'!F907</f>
        <v>1391667.9336</v>
      </c>
      <c r="H773" s="39" t="n">
        <f aca="false">F773-G773</f>
        <v>23152740.0664</v>
      </c>
      <c r="I773" s="39" t="n">
        <f aca="false">H773*'Assumptions &amp; Data'!G907</f>
        <v>3887345.05714856</v>
      </c>
      <c r="J773" s="39" t="n">
        <f aca="false">E773*'Assumptions &amp; Data'!H907</f>
        <v>522326.56</v>
      </c>
      <c r="K773" s="39" t="n">
        <f aca="false">H773*'Assumptions &amp; Data'!I907</f>
        <v>750148.77815136</v>
      </c>
      <c r="L773" s="39" t="n">
        <f aca="false">H773*'Assumptions &amp; Data'!J907</f>
        <v>407488.22516864</v>
      </c>
      <c r="M773" s="39" t="n">
        <f aca="false">I773+J773+K773-L773</f>
        <v>4752332.17013128</v>
      </c>
      <c r="N773" s="39" t="n">
        <f aca="false">E773*'Assumptions &amp; Data'!N907</f>
        <v>1428650.72</v>
      </c>
      <c r="O773" s="39" t="n">
        <f aca="false">E773*'Assumptions &amp; Data'!O907</f>
        <v>399267.68</v>
      </c>
      <c r="P773" s="39" t="n">
        <f aca="false">H773*'Assumptions &amp; Data'!P907</f>
        <v>233842.67467064</v>
      </c>
      <c r="Q773" s="39" t="n">
        <f aca="false">M773-N773-O773-P773</f>
        <v>2690571.09546064</v>
      </c>
      <c r="R773" s="39" t="n">
        <f aca="false">'Assumptions &amp; Data'!L907*'Assumptions &amp; Data'!M907</f>
        <v>659567</v>
      </c>
      <c r="S773" s="37" t="n">
        <f aca="false">'Assumptions &amp; Data'!Q907</f>
        <v>423500</v>
      </c>
      <c r="T773" s="37" t="n">
        <f aca="false">'Assumptions &amp; Data'!R907</f>
        <v>197337</v>
      </c>
      <c r="U773" s="37" t="n">
        <f aca="false">'Assumptions &amp; Data'!S907</f>
        <v>192039</v>
      </c>
      <c r="V773" s="39" t="n">
        <f aca="false">Q773-R773-S773-T773-U773</f>
        <v>1218128.09546064</v>
      </c>
      <c r="W773" s="39" t="n">
        <f aca="false">DAY(EOMONTH(C773,0))</f>
        <v>30</v>
      </c>
      <c r="X773" s="40" t="n">
        <f aca="false">E773/W773</f>
        <v>1497.06666666667</v>
      </c>
      <c r="Y773" s="39" t="n">
        <f aca="false">R773+S773+T773+U773</f>
        <v>1472443</v>
      </c>
    </row>
    <row r="774" customFormat="false" ht="15" hidden="false" customHeight="false" outlineLevel="0" collapsed="false">
      <c r="A774" s="37" t="str">
        <f aca="false">'Assumptions &amp; Data'!A908</f>
        <v>SM0704</v>
      </c>
      <c r="B774" s="37" t="str">
        <f aca="false">'Assumptions &amp; Data'!B908</f>
        <v>DS059</v>
      </c>
      <c r="C774" s="38" t="n">
        <f aca="false">'Assumptions &amp; Data'!C908</f>
        <v>46143</v>
      </c>
      <c r="D774" s="39" t="str">
        <f aca="false">INDEX('Assumptions &amp; Data'!$B$142:$B$201,MATCH(B774,'Assumptions &amp; Data'!$A$142:$A$201,0))</f>
        <v>Jaipur</v>
      </c>
      <c r="E774" s="37" t="n">
        <f aca="false">'Assumptions &amp; Data'!D908</f>
        <v>46721</v>
      </c>
      <c r="F774" s="39" t="n">
        <f aca="false">E774*'Assumptions &amp; Data'!E908</f>
        <v>25145242.2</v>
      </c>
      <c r="G774" s="39" t="n">
        <f aca="false">F774*'Assumptions &amp; Data'!F908</f>
        <v>1531345.24998</v>
      </c>
      <c r="H774" s="39" t="n">
        <f aca="false">F774-G774</f>
        <v>23613896.95002</v>
      </c>
      <c r="I774" s="39" t="n">
        <f aca="false">H774*'Assumptions &amp; Data'!G908</f>
        <v>3936436.62156833</v>
      </c>
      <c r="J774" s="39" t="n">
        <f aca="false">E774*'Assumptions &amp; Data'!H908</f>
        <v>571865.04</v>
      </c>
      <c r="K774" s="39" t="n">
        <f aca="false">H774*'Assumptions &amp; Data'!I908</f>
        <v>762728.871485646</v>
      </c>
      <c r="L774" s="39" t="n">
        <f aca="false">H774*'Assumptions &amp; Data'!J908</f>
        <v>460470.99052539</v>
      </c>
      <c r="M774" s="39" t="n">
        <f aca="false">I774+J774+K774-L774</f>
        <v>4810559.54252859</v>
      </c>
      <c r="N774" s="39" t="n">
        <f aca="false">E774*'Assumptions &amp; Data'!N908</f>
        <v>1482924.54</v>
      </c>
      <c r="O774" s="39" t="n">
        <f aca="false">E774*'Assumptions &amp; Data'!O908</f>
        <v>406472.7</v>
      </c>
      <c r="P774" s="39" t="n">
        <f aca="false">H774*'Assumptions &amp; Data'!P908</f>
        <v>243223.138585206</v>
      </c>
      <c r="Q774" s="39" t="n">
        <f aca="false">M774-N774-O774-P774</f>
        <v>2677939.16394338</v>
      </c>
      <c r="R774" s="39" t="n">
        <f aca="false">'Assumptions &amp; Data'!L908*'Assumptions &amp; Data'!M908</f>
        <v>644080</v>
      </c>
      <c r="S774" s="37" t="n">
        <f aca="false">'Assumptions &amp; Data'!Q908</f>
        <v>423500</v>
      </c>
      <c r="T774" s="37" t="n">
        <f aca="false">'Assumptions &amp; Data'!R908</f>
        <v>205355</v>
      </c>
      <c r="U774" s="37" t="n">
        <f aca="false">'Assumptions &amp; Data'!S908</f>
        <v>198170</v>
      </c>
      <c r="V774" s="39" t="n">
        <f aca="false">Q774-R774-S774-T774-U774</f>
        <v>1206834.16394338</v>
      </c>
      <c r="W774" s="39" t="n">
        <f aca="false">DAY(EOMONTH(C774,0))</f>
        <v>31</v>
      </c>
      <c r="X774" s="40" t="n">
        <f aca="false">E774/W774</f>
        <v>1507.12903225806</v>
      </c>
      <c r="Y774" s="39" t="n">
        <f aca="false">R774+S774+T774+U774</f>
        <v>1471105</v>
      </c>
    </row>
    <row r="775" customFormat="false" ht="15" hidden="false" customHeight="false" outlineLevel="0" collapsed="false">
      <c r="A775" s="37" t="str">
        <f aca="false">'Assumptions &amp; Data'!A909</f>
        <v>SM0705</v>
      </c>
      <c r="B775" s="37" t="str">
        <f aca="false">'Assumptions &amp; Data'!B909</f>
        <v>DS059</v>
      </c>
      <c r="C775" s="38" t="n">
        <f aca="false">'Assumptions &amp; Data'!C909</f>
        <v>46174</v>
      </c>
      <c r="D775" s="39" t="str">
        <f aca="false">INDEX('Assumptions &amp; Data'!$B$142:$B$201,MATCH(B775,'Assumptions &amp; Data'!$A$142:$A$201,0))</f>
        <v>Jaipur</v>
      </c>
      <c r="E775" s="37" t="n">
        <f aca="false">'Assumptions &amp; Data'!D909</f>
        <v>46058</v>
      </c>
      <c r="F775" s="39" t="n">
        <f aca="false">E775*'Assumptions &amp; Data'!E909</f>
        <v>24645635.8</v>
      </c>
      <c r="G775" s="39" t="n">
        <f aca="false">F775*'Assumptions &amp; Data'!F909</f>
        <v>1377691.04122</v>
      </c>
      <c r="H775" s="39" t="n">
        <f aca="false">F775-G775</f>
        <v>23267944.75878</v>
      </c>
      <c r="I775" s="39" t="n">
        <f aca="false">H775*'Assumptions &amp; Data'!G909</f>
        <v>3892727.15814389</v>
      </c>
      <c r="J775" s="39" t="n">
        <f aca="false">E775*'Assumptions &amp; Data'!H909</f>
        <v>578027.9</v>
      </c>
      <c r="K775" s="39" t="n">
        <f aca="false">H775*'Assumptions &amp; Data'!I909</f>
        <v>798090.505226154</v>
      </c>
      <c r="L775" s="39" t="n">
        <f aca="false">H775*'Assumptions &amp; Data'!J909</f>
        <v>449071.333844454</v>
      </c>
      <c r="M775" s="39" t="n">
        <f aca="false">I775+J775+K775-L775</f>
        <v>4819774.2295256</v>
      </c>
      <c r="N775" s="39" t="n">
        <f aca="false">E775*'Assumptions &amp; Data'!N909</f>
        <v>1475698.32</v>
      </c>
      <c r="O775" s="39" t="n">
        <f aca="false">E775*'Assumptions &amp; Data'!O909</f>
        <v>412679.68</v>
      </c>
      <c r="P775" s="39" t="n">
        <f aca="false">H775*'Assumptions &amp; Data'!P909</f>
        <v>228025.858636044</v>
      </c>
      <c r="Q775" s="39" t="n">
        <f aca="false">M775-N775-O775-P775</f>
        <v>2703370.37088955</v>
      </c>
      <c r="R775" s="39" t="n">
        <f aca="false">'Assumptions &amp; Data'!L909*'Assumptions &amp; Data'!M909</f>
        <v>660756</v>
      </c>
      <c r="S775" s="37" t="n">
        <f aca="false">'Assumptions &amp; Data'!Q909</f>
        <v>423500</v>
      </c>
      <c r="T775" s="37" t="n">
        <f aca="false">'Assumptions &amp; Data'!R909</f>
        <v>204538</v>
      </c>
      <c r="U775" s="37" t="n">
        <f aca="false">'Assumptions &amp; Data'!S909</f>
        <v>161743</v>
      </c>
      <c r="V775" s="39" t="n">
        <f aca="false">Q775-R775-S775-T775-U775</f>
        <v>1252833.37088955</v>
      </c>
      <c r="W775" s="39" t="n">
        <f aca="false">DAY(EOMONTH(C775,0))</f>
        <v>30</v>
      </c>
      <c r="X775" s="40" t="n">
        <f aca="false">E775/W775</f>
        <v>1535.26666666667</v>
      </c>
      <c r="Y775" s="39" t="n">
        <f aca="false">R775+S775+T775+U775</f>
        <v>1450537</v>
      </c>
    </row>
    <row r="776" customFormat="false" ht="15" hidden="false" customHeight="false" outlineLevel="0" collapsed="false">
      <c r="A776" s="37" t="str">
        <f aca="false">'Assumptions &amp; Data'!A910</f>
        <v>SM0706</v>
      </c>
      <c r="B776" s="37" t="str">
        <f aca="false">'Assumptions &amp; Data'!B910</f>
        <v>DS059</v>
      </c>
      <c r="C776" s="38" t="n">
        <f aca="false">'Assumptions &amp; Data'!C910</f>
        <v>46204</v>
      </c>
      <c r="D776" s="39" t="str">
        <f aca="false">INDEX('Assumptions &amp; Data'!$B$142:$B$201,MATCH(B776,'Assumptions &amp; Data'!$A$142:$A$201,0))</f>
        <v>Jaipur</v>
      </c>
      <c r="E776" s="37" t="n">
        <f aca="false">'Assumptions &amp; Data'!D910</f>
        <v>47321</v>
      </c>
      <c r="F776" s="39" t="n">
        <f aca="false">E776*'Assumptions &amp; Data'!E910</f>
        <v>24843525</v>
      </c>
      <c r="G776" s="39" t="n">
        <f aca="false">F776*'Assumptions &amp; Data'!F910</f>
        <v>1510486.32</v>
      </c>
      <c r="H776" s="39" t="n">
        <f aca="false">F776-G776</f>
        <v>23333038.68</v>
      </c>
      <c r="I776" s="39" t="n">
        <f aca="false">H776*'Assumptions &amp; Data'!G910</f>
        <v>3938616.929184</v>
      </c>
      <c r="J776" s="39" t="n">
        <f aca="false">E776*'Assumptions &amp; Data'!H910</f>
        <v>578735.83</v>
      </c>
      <c r="K776" s="39" t="n">
        <f aca="false">H776*'Assumptions &amp; Data'!I910</f>
        <v>769990.27644</v>
      </c>
      <c r="L776" s="39" t="n">
        <f aca="false">H776*'Assumptions &amp; Data'!J910</f>
        <v>433994.519448</v>
      </c>
      <c r="M776" s="39" t="n">
        <f aca="false">I776+J776+K776-L776</f>
        <v>4853348.516176</v>
      </c>
      <c r="N776" s="39" t="n">
        <f aca="false">E776*'Assumptions &amp; Data'!N910</f>
        <v>1458906.43</v>
      </c>
      <c r="O776" s="39" t="n">
        <f aca="false">E776*'Assumptions &amp; Data'!O910</f>
        <v>410746.28</v>
      </c>
      <c r="P776" s="39" t="n">
        <f aca="false">H776*'Assumptions &amp; Data'!P910</f>
        <v>240330.298404</v>
      </c>
      <c r="Q776" s="39" t="n">
        <f aca="false">M776-N776-O776-P776</f>
        <v>2743365.507772</v>
      </c>
      <c r="R776" s="39" t="n">
        <f aca="false">'Assumptions &amp; Data'!L910*'Assumptions &amp; Data'!M910</f>
        <v>677502</v>
      </c>
      <c r="S776" s="37" t="n">
        <f aca="false">'Assumptions &amp; Data'!Q910</f>
        <v>423500</v>
      </c>
      <c r="T776" s="37" t="n">
        <f aca="false">'Assumptions &amp; Data'!R910</f>
        <v>198266</v>
      </c>
      <c r="U776" s="37" t="n">
        <f aca="false">'Assumptions &amp; Data'!S910</f>
        <v>191066</v>
      </c>
      <c r="V776" s="39" t="n">
        <f aca="false">Q776-R776-S776-T776-U776</f>
        <v>1253031.507772</v>
      </c>
      <c r="W776" s="39" t="n">
        <f aca="false">DAY(EOMONTH(C776,0))</f>
        <v>31</v>
      </c>
      <c r="X776" s="40" t="n">
        <f aca="false">E776/W776</f>
        <v>1526.48387096774</v>
      </c>
      <c r="Y776" s="39" t="n">
        <f aca="false">R776+S776+T776+U776</f>
        <v>1490334</v>
      </c>
    </row>
    <row r="777" customFormat="false" ht="15" hidden="false" customHeight="false" outlineLevel="0" collapsed="false">
      <c r="A777" s="37" t="str">
        <f aca="false">'Assumptions &amp; Data'!A911</f>
        <v>SM0707</v>
      </c>
      <c r="B777" s="37" t="str">
        <f aca="false">'Assumptions &amp; Data'!B911</f>
        <v>DS059</v>
      </c>
      <c r="C777" s="38" t="n">
        <f aca="false">'Assumptions &amp; Data'!C911</f>
        <v>46235</v>
      </c>
      <c r="D777" s="39" t="str">
        <f aca="false">INDEX('Assumptions &amp; Data'!$B$142:$B$201,MATCH(B777,'Assumptions &amp; Data'!$A$142:$A$201,0))</f>
        <v>Jaipur</v>
      </c>
      <c r="E777" s="37" t="n">
        <f aca="false">'Assumptions &amp; Data'!D911</f>
        <v>47015</v>
      </c>
      <c r="F777" s="39" t="n">
        <f aca="false">E777*'Assumptions &amp; Data'!E911</f>
        <v>25966384.5</v>
      </c>
      <c r="G777" s="39" t="n">
        <f aca="false">F777*'Assumptions &amp; Data'!F911</f>
        <v>1503453.66255</v>
      </c>
      <c r="H777" s="39" t="n">
        <f aca="false">F777-G777</f>
        <v>24462930.83745</v>
      </c>
      <c r="I777" s="39" t="n">
        <f aca="false">H777*'Assumptions &amp; Data'!G911</f>
        <v>4107326.08760785</v>
      </c>
      <c r="J777" s="39" t="n">
        <f aca="false">E777*'Assumptions &amp; Data'!H911</f>
        <v>575933.75</v>
      </c>
      <c r="K777" s="39" t="n">
        <f aca="false">H777*'Assumptions &amp; Data'!I911</f>
        <v>809723.010719595</v>
      </c>
      <c r="L777" s="39" t="n">
        <f aca="false">H777*'Assumptions &amp; Data'!J911</f>
        <v>435440.16890661</v>
      </c>
      <c r="M777" s="39" t="n">
        <f aca="false">I777+J777+K777-L777</f>
        <v>5057542.67942084</v>
      </c>
      <c r="N777" s="39" t="n">
        <f aca="false">E777*'Assumptions &amp; Data'!N911</f>
        <v>1473450.1</v>
      </c>
      <c r="O777" s="39" t="n">
        <f aca="false">E777*'Assumptions &amp; Data'!O911</f>
        <v>410440.95</v>
      </c>
      <c r="P777" s="39" t="n">
        <f aca="false">H777*'Assumptions &amp; Data'!P911</f>
        <v>237290.429123265</v>
      </c>
      <c r="Q777" s="39" t="n">
        <f aca="false">M777-N777-O777-P777</f>
        <v>2936361.20029757</v>
      </c>
      <c r="R777" s="39" t="n">
        <f aca="false">'Assumptions &amp; Data'!L911*'Assumptions &amp; Data'!M911</f>
        <v>645800</v>
      </c>
      <c r="S777" s="37" t="n">
        <f aca="false">'Assumptions &amp; Data'!Q911</f>
        <v>423500</v>
      </c>
      <c r="T777" s="37" t="n">
        <f aca="false">'Assumptions &amp; Data'!R911</f>
        <v>215967</v>
      </c>
      <c r="U777" s="37" t="n">
        <f aca="false">'Assumptions &amp; Data'!S911</f>
        <v>232109</v>
      </c>
      <c r="V777" s="39" t="n">
        <f aca="false">Q777-R777-S777-T777-U777</f>
        <v>1418985.20029757</v>
      </c>
      <c r="W777" s="39" t="n">
        <f aca="false">DAY(EOMONTH(C777,0))</f>
        <v>31</v>
      </c>
      <c r="X777" s="40" t="n">
        <f aca="false">E777/W777</f>
        <v>1516.61290322581</v>
      </c>
      <c r="Y777" s="39" t="n">
        <f aca="false">R777+S777+T777+U777</f>
        <v>1517376</v>
      </c>
    </row>
    <row r="778" customFormat="false" ht="15" hidden="false" customHeight="false" outlineLevel="0" collapsed="false">
      <c r="A778" s="37" t="str">
        <f aca="false">'Assumptions &amp; Data'!A912</f>
        <v>SM0708</v>
      </c>
      <c r="B778" s="37" t="str">
        <f aca="false">'Assumptions &amp; Data'!B912</f>
        <v>DS059</v>
      </c>
      <c r="C778" s="38" t="n">
        <f aca="false">'Assumptions &amp; Data'!C912</f>
        <v>46266</v>
      </c>
      <c r="D778" s="39" t="str">
        <f aca="false">INDEX('Assumptions &amp; Data'!$B$142:$B$201,MATCH(B778,'Assumptions &amp; Data'!$A$142:$A$201,0))</f>
        <v>Jaipur</v>
      </c>
      <c r="E778" s="37" t="n">
        <f aca="false">'Assumptions &amp; Data'!D912</f>
        <v>44613</v>
      </c>
      <c r="F778" s="39" t="n">
        <f aca="false">E778*'Assumptions &amp; Data'!E912</f>
        <v>24813750.6</v>
      </c>
      <c r="G778" s="39" t="n">
        <f aca="false">F778*'Assumptions &amp; Data'!F912</f>
        <v>1444160.28492</v>
      </c>
      <c r="H778" s="39" t="n">
        <f aca="false">F778-G778</f>
        <v>23369590.31508</v>
      </c>
      <c r="I778" s="39" t="n">
        <f aca="false">H778*'Assumptions &amp; Data'!G912</f>
        <v>3942449.886154</v>
      </c>
      <c r="J778" s="39" t="n">
        <f aca="false">E778*'Assumptions &amp; Data'!H912</f>
        <v>558108.63</v>
      </c>
      <c r="K778" s="39" t="n">
        <f aca="false">H778*'Assumptions &amp; Data'!I912</f>
        <v>782881.27555518</v>
      </c>
      <c r="L778" s="39" t="n">
        <f aca="false">H778*'Assumptions &amp; Data'!J912</f>
        <v>453370.052112552</v>
      </c>
      <c r="M778" s="39" t="n">
        <f aca="false">I778+J778+K778-L778</f>
        <v>4830069.73959662</v>
      </c>
      <c r="N778" s="39" t="n">
        <f aca="false">E778*'Assumptions &amp; Data'!N912</f>
        <v>1411555.32</v>
      </c>
      <c r="O778" s="39" t="n">
        <f aca="false">E778*'Assumptions &amp; Data'!O912</f>
        <v>405086.04</v>
      </c>
      <c r="P778" s="39" t="n">
        <f aca="false">H778*'Assumptions &amp; Data'!P912</f>
        <v>238369.821213816</v>
      </c>
      <c r="Q778" s="39" t="n">
        <f aca="false">M778-N778-O778-P778</f>
        <v>2775058.55838281</v>
      </c>
      <c r="R778" s="39" t="n">
        <f aca="false">'Assumptions &amp; Data'!L912*'Assumptions &amp; Data'!M912</f>
        <v>646400</v>
      </c>
      <c r="S778" s="37" t="n">
        <f aca="false">'Assumptions &amp; Data'!Q912</f>
        <v>423500</v>
      </c>
      <c r="T778" s="37" t="n">
        <f aca="false">'Assumptions &amp; Data'!R912</f>
        <v>197373</v>
      </c>
      <c r="U778" s="37" t="n">
        <f aca="false">'Assumptions &amp; Data'!S912</f>
        <v>182786</v>
      </c>
      <c r="V778" s="39" t="n">
        <f aca="false">Q778-R778-S778-T778-U778</f>
        <v>1324999.55838281</v>
      </c>
      <c r="W778" s="39" t="n">
        <f aca="false">DAY(EOMONTH(C778,0))</f>
        <v>30</v>
      </c>
      <c r="X778" s="40" t="n">
        <f aca="false">E778/W778</f>
        <v>1487.1</v>
      </c>
      <c r="Y778" s="39" t="n">
        <f aca="false">R778+S778+T778+U778</f>
        <v>1450059</v>
      </c>
    </row>
    <row r="779" customFormat="false" ht="15" hidden="false" customHeight="false" outlineLevel="0" collapsed="false">
      <c r="A779" s="37" t="str">
        <f aca="false">'Assumptions &amp; Data'!A913</f>
        <v>SM0709</v>
      </c>
      <c r="B779" s="37" t="str">
        <f aca="false">'Assumptions &amp; Data'!B913</f>
        <v>DS060</v>
      </c>
      <c r="C779" s="38" t="n">
        <f aca="false">'Assumptions &amp; Data'!C913</f>
        <v>45931</v>
      </c>
      <c r="D779" s="39" t="str">
        <f aca="false">INDEX('Assumptions &amp; Data'!$B$142:$B$201,MATCH(B779,'Assumptions &amp; Data'!$A$142:$A$201,0))</f>
        <v>Jaipur</v>
      </c>
      <c r="E779" s="37" t="n">
        <f aca="false">'Assumptions &amp; Data'!D913</f>
        <v>13155</v>
      </c>
      <c r="F779" s="39" t="n">
        <f aca="false">E779*'Assumptions &amp; Data'!E913</f>
        <v>8015341.5</v>
      </c>
      <c r="G779" s="39" t="n">
        <f aca="false">F779*'Assumptions &amp; Data'!F913</f>
        <v>613173.62475</v>
      </c>
      <c r="H779" s="39" t="n">
        <f aca="false">F779-G779</f>
        <v>7402167.87525</v>
      </c>
      <c r="I779" s="39" t="n">
        <f aca="false">H779*'Assumptions &amp; Data'!G913</f>
        <v>1248005.50376715</v>
      </c>
      <c r="J779" s="39" t="n">
        <f aca="false">E779*'Assumptions &amp; Data'!H913</f>
        <v>139969.2</v>
      </c>
      <c r="K779" s="39" t="n">
        <f aca="false">H779*'Assumptions &amp; Data'!I913</f>
        <v>156185.742167775</v>
      </c>
      <c r="L779" s="39" t="n">
        <f aca="false">H779*'Assumptions &amp; Data'!J913</f>
        <v>319033.435423275</v>
      </c>
      <c r="M779" s="39" t="n">
        <f aca="false">I779+J779+K779-L779</f>
        <v>1225127.01051165</v>
      </c>
      <c r="N779" s="39" t="n">
        <f aca="false">E779*'Assumptions &amp; Data'!N913</f>
        <v>442402.65</v>
      </c>
      <c r="O779" s="39" t="n">
        <f aca="false">E779*'Assumptions &amp; Data'!O913</f>
        <v>113790.75</v>
      </c>
      <c r="P779" s="39" t="n">
        <f aca="false">H779*'Assumptions &amp; Data'!P913</f>
        <v>75502.11232755</v>
      </c>
      <c r="Q779" s="39" t="n">
        <f aca="false">M779-N779-O779-P779</f>
        <v>593431.4981841</v>
      </c>
      <c r="R779" s="39" t="n">
        <f aca="false">'Assumptions &amp; Data'!L913*'Assumptions &amp; Data'!M913</f>
        <v>256000</v>
      </c>
      <c r="S779" s="37" t="n">
        <f aca="false">'Assumptions &amp; Data'!Q913</f>
        <v>188000</v>
      </c>
      <c r="T779" s="37" t="n">
        <f aca="false">'Assumptions &amp; Data'!R913</f>
        <v>171182</v>
      </c>
      <c r="U779" s="37" t="n">
        <f aca="false">'Assumptions &amp; Data'!S913</f>
        <v>147665</v>
      </c>
      <c r="V779" s="39" t="n">
        <f aca="false">Q779-R779-S779-T779-U779</f>
        <v>-169415.5018159</v>
      </c>
      <c r="W779" s="39" t="n">
        <f aca="false">DAY(EOMONTH(C779,0))</f>
        <v>31</v>
      </c>
      <c r="X779" s="40" t="n">
        <f aca="false">E779/W779</f>
        <v>424.354838709677</v>
      </c>
      <c r="Y779" s="39" t="n">
        <f aca="false">R779+S779+T779+U779</f>
        <v>762847</v>
      </c>
    </row>
    <row r="780" customFormat="false" ht="15" hidden="false" customHeight="false" outlineLevel="0" collapsed="false">
      <c r="A780" s="37" t="str">
        <f aca="false">'Assumptions &amp; Data'!A914</f>
        <v>SM0710</v>
      </c>
      <c r="B780" s="37" t="str">
        <f aca="false">'Assumptions &amp; Data'!B914</f>
        <v>DS060</v>
      </c>
      <c r="C780" s="38" t="n">
        <f aca="false">'Assumptions &amp; Data'!C914</f>
        <v>45962</v>
      </c>
      <c r="D780" s="39" t="str">
        <f aca="false">INDEX('Assumptions &amp; Data'!$B$142:$B$201,MATCH(B780,'Assumptions &amp; Data'!$A$142:$A$201,0))</f>
        <v>Jaipur</v>
      </c>
      <c r="E780" s="37" t="n">
        <f aca="false">'Assumptions &amp; Data'!D914</f>
        <v>14580</v>
      </c>
      <c r="F780" s="39" t="n">
        <f aca="false">E780*'Assumptions &amp; Data'!E914</f>
        <v>8800488</v>
      </c>
      <c r="G780" s="39" t="n">
        <f aca="false">F780*'Assumptions &amp; Data'!F914</f>
        <v>638915.4288</v>
      </c>
      <c r="H780" s="39" t="n">
        <f aca="false">F780-G780</f>
        <v>8161572.5712</v>
      </c>
      <c r="I780" s="39" t="n">
        <f aca="false">H780*'Assumptions &amp; Data'!G914</f>
        <v>1380938.07904704</v>
      </c>
      <c r="J780" s="39" t="n">
        <f aca="false">E780*'Assumptions &amp; Data'!H914</f>
        <v>163879.2</v>
      </c>
      <c r="K780" s="39" t="n">
        <f aca="false">H780*'Assumptions &amp; Data'!I914</f>
        <v>180370.75382352</v>
      </c>
      <c r="L780" s="39" t="n">
        <f aca="false">H780*'Assumptions &amp; Data'!J914</f>
        <v>338705.2617048</v>
      </c>
      <c r="M780" s="39" t="n">
        <f aca="false">I780+J780+K780-L780</f>
        <v>1386482.77116576</v>
      </c>
      <c r="N780" s="39" t="n">
        <f aca="false">E780*'Assumptions &amp; Data'!N914</f>
        <v>477057.6</v>
      </c>
      <c r="O780" s="39" t="n">
        <f aca="false">E780*'Assumptions &amp; Data'!O914</f>
        <v>126991.8</v>
      </c>
      <c r="P780" s="39" t="n">
        <f aca="false">H780*'Assumptions &amp; Data'!P914</f>
        <v>82431.88296912</v>
      </c>
      <c r="Q780" s="39" t="n">
        <f aca="false">M780-N780-O780-P780</f>
        <v>700001.48819664</v>
      </c>
      <c r="R780" s="39" t="n">
        <f aca="false">'Assumptions &amp; Data'!L914*'Assumptions &amp; Data'!M914</f>
        <v>256240</v>
      </c>
      <c r="S780" s="37" t="n">
        <f aca="false">'Assumptions &amp; Data'!Q914</f>
        <v>188000</v>
      </c>
      <c r="T780" s="37" t="n">
        <f aca="false">'Assumptions &amp; Data'!R914</f>
        <v>170549</v>
      </c>
      <c r="U780" s="37" t="n">
        <f aca="false">'Assumptions &amp; Data'!S914</f>
        <v>145573</v>
      </c>
      <c r="V780" s="39" t="n">
        <f aca="false">Q780-R780-S780-T780-U780</f>
        <v>-60360.5118033602</v>
      </c>
      <c r="W780" s="39" t="n">
        <f aca="false">DAY(EOMONTH(C780,0))</f>
        <v>30</v>
      </c>
      <c r="X780" s="40" t="n">
        <f aca="false">E780/W780</f>
        <v>486</v>
      </c>
      <c r="Y780" s="39" t="n">
        <f aca="false">R780+S780+T780+U780</f>
        <v>760362</v>
      </c>
    </row>
    <row r="781" customFormat="false" ht="15" hidden="false" customHeight="false" outlineLevel="0" collapsed="false">
      <c r="A781" s="37" t="str">
        <f aca="false">'Assumptions &amp; Data'!A915</f>
        <v>SM0711</v>
      </c>
      <c r="B781" s="37" t="str">
        <f aca="false">'Assumptions &amp; Data'!B915</f>
        <v>DS060</v>
      </c>
      <c r="C781" s="38" t="n">
        <f aca="false">'Assumptions &amp; Data'!C915</f>
        <v>45992</v>
      </c>
      <c r="D781" s="39" t="str">
        <f aca="false">INDEX('Assumptions &amp; Data'!$B$142:$B$201,MATCH(B781,'Assumptions &amp; Data'!$A$142:$A$201,0))</f>
        <v>Jaipur</v>
      </c>
      <c r="E781" s="37" t="n">
        <f aca="false">'Assumptions &amp; Data'!D915</f>
        <v>15042</v>
      </c>
      <c r="F781" s="39" t="n">
        <f aca="false">E781*'Assumptions &amp; Data'!E915</f>
        <v>9270384.6</v>
      </c>
      <c r="G781" s="39" t="n">
        <f aca="false">F781*'Assumptions &amp; Data'!F915</f>
        <v>656343.22968</v>
      </c>
      <c r="H781" s="39" t="n">
        <f aca="false">F781-G781</f>
        <v>8614041.37032</v>
      </c>
      <c r="I781" s="39" t="n">
        <f aca="false">H781*'Assumptions &amp; Data'!G915</f>
        <v>1456634.39572111</v>
      </c>
      <c r="J781" s="39" t="n">
        <f aca="false">E781*'Assumptions &amp; Data'!H915</f>
        <v>162904.86</v>
      </c>
      <c r="K781" s="39" t="n">
        <f aca="false">H781*'Assumptions &amp; Data'!I915</f>
        <v>186063.293598912</v>
      </c>
      <c r="L781" s="39" t="n">
        <f aca="false">H781*'Assumptions &amp; Data'!J915</f>
        <v>361789.73755344</v>
      </c>
      <c r="M781" s="39" t="n">
        <f aca="false">I781+J781+K781-L781</f>
        <v>1443812.81176658</v>
      </c>
      <c r="N781" s="39" t="n">
        <f aca="false">E781*'Assumptions &amp; Data'!N915</f>
        <v>498040.62</v>
      </c>
      <c r="O781" s="39" t="n">
        <f aca="false">E781*'Assumptions &amp; Data'!O915</f>
        <v>133422.54</v>
      </c>
      <c r="P781" s="39" t="n">
        <f aca="false">H781*'Assumptions &amp; Data'!P915</f>
        <v>83556.201292104</v>
      </c>
      <c r="Q781" s="39" t="n">
        <f aca="false">M781-N781-O781-P781</f>
        <v>728793.45047448</v>
      </c>
      <c r="R781" s="39" t="n">
        <f aca="false">'Assumptions &amp; Data'!L915*'Assumptions &amp; Data'!M915</f>
        <v>256464</v>
      </c>
      <c r="S781" s="37" t="n">
        <f aca="false">'Assumptions &amp; Data'!Q915</f>
        <v>188000</v>
      </c>
      <c r="T781" s="37" t="n">
        <f aca="false">'Assumptions &amp; Data'!R915</f>
        <v>168050</v>
      </c>
      <c r="U781" s="37" t="n">
        <f aca="false">'Assumptions &amp; Data'!S915</f>
        <v>138552</v>
      </c>
      <c r="V781" s="39" t="n">
        <f aca="false">Q781-R781-S781-T781-U781</f>
        <v>-22272.54952552</v>
      </c>
      <c r="W781" s="39" t="n">
        <f aca="false">DAY(EOMONTH(C781,0))</f>
        <v>31</v>
      </c>
      <c r="X781" s="40" t="n">
        <f aca="false">E781/W781</f>
        <v>485.225806451613</v>
      </c>
      <c r="Y781" s="39" t="n">
        <f aca="false">R781+S781+T781+U781</f>
        <v>751066</v>
      </c>
    </row>
    <row r="782" customFormat="false" ht="15" hidden="false" customHeight="false" outlineLevel="0" collapsed="false">
      <c r="A782" s="37" t="str">
        <f aca="false">'Assumptions &amp; Data'!A916</f>
        <v>SM0712</v>
      </c>
      <c r="B782" s="37" t="str">
        <f aca="false">'Assumptions &amp; Data'!B916</f>
        <v>DS060</v>
      </c>
      <c r="C782" s="38" t="n">
        <f aca="false">'Assumptions &amp; Data'!C916</f>
        <v>46023</v>
      </c>
      <c r="D782" s="39" t="str">
        <f aca="false">INDEX('Assumptions &amp; Data'!$B$142:$B$201,MATCH(B782,'Assumptions &amp; Data'!$A$142:$A$201,0))</f>
        <v>Jaipur</v>
      </c>
      <c r="E782" s="37" t="n">
        <f aca="false">'Assumptions &amp; Data'!D916</f>
        <v>16128</v>
      </c>
      <c r="F782" s="39" t="n">
        <f aca="false">E782*'Assumptions &amp; Data'!E916</f>
        <v>9833241.6</v>
      </c>
      <c r="G782" s="39" t="n">
        <f aca="false">F782*'Assumptions &amp; Data'!F916</f>
        <v>719793.28512</v>
      </c>
      <c r="H782" s="39" t="n">
        <f aca="false">F782-G782</f>
        <v>9113448.31488</v>
      </c>
      <c r="I782" s="39" t="n">
        <f aca="false">H782*'Assumptions &amp; Data'!G916</f>
        <v>1536527.38588877</v>
      </c>
      <c r="J782" s="39" t="n">
        <f aca="false">E782*'Assumptions &amp; Data'!H916</f>
        <v>166118.4</v>
      </c>
      <c r="K782" s="39" t="n">
        <f aca="false">H782*'Assumptions &amp; Data'!I916</f>
        <v>210520.656073728</v>
      </c>
      <c r="L782" s="39" t="n">
        <f aca="false">H782*'Assumptions &amp; Data'!J916</f>
        <v>353601.794617344</v>
      </c>
      <c r="M782" s="39" t="n">
        <f aca="false">I782+J782+K782-L782</f>
        <v>1559564.64734515</v>
      </c>
      <c r="N782" s="39" t="n">
        <f aca="false">E782*'Assumptions &amp; Data'!N916</f>
        <v>539965.44</v>
      </c>
      <c r="O782" s="39" t="n">
        <f aca="false">E782*'Assumptions &amp; Data'!O916</f>
        <v>142248.96</v>
      </c>
      <c r="P782" s="39" t="n">
        <f aca="false">H782*'Assumptions &amp; Data'!P916</f>
        <v>92045.827980288</v>
      </c>
      <c r="Q782" s="39" t="n">
        <f aca="false">M782-N782-O782-P782</f>
        <v>785304.419364864</v>
      </c>
      <c r="R782" s="39" t="n">
        <f aca="false">'Assumptions &amp; Data'!L916*'Assumptions &amp; Data'!M916</f>
        <v>256704</v>
      </c>
      <c r="S782" s="37" t="n">
        <f aca="false">'Assumptions &amp; Data'!Q916</f>
        <v>188000</v>
      </c>
      <c r="T782" s="37" t="n">
        <f aca="false">'Assumptions &amp; Data'!R916</f>
        <v>156093</v>
      </c>
      <c r="U782" s="37" t="n">
        <f aca="false">'Assumptions &amp; Data'!S916</f>
        <v>140212</v>
      </c>
      <c r="V782" s="39" t="n">
        <f aca="false">Q782-R782-S782-T782-U782</f>
        <v>44295.4193648642</v>
      </c>
      <c r="W782" s="39" t="n">
        <f aca="false">DAY(EOMONTH(C782,0))</f>
        <v>31</v>
      </c>
      <c r="X782" s="40" t="n">
        <f aca="false">E782/W782</f>
        <v>520.258064516129</v>
      </c>
      <c r="Y782" s="39" t="n">
        <f aca="false">R782+S782+T782+U782</f>
        <v>741009</v>
      </c>
    </row>
    <row r="783" customFormat="false" ht="15" hidden="false" customHeight="false" outlineLevel="0" collapsed="false">
      <c r="A783" s="37" t="str">
        <f aca="false">'Assumptions &amp; Data'!A917</f>
        <v>SM0713</v>
      </c>
      <c r="B783" s="37" t="str">
        <f aca="false">'Assumptions &amp; Data'!B917</f>
        <v>DS060</v>
      </c>
      <c r="C783" s="38" t="n">
        <f aca="false">'Assumptions &amp; Data'!C917</f>
        <v>46054</v>
      </c>
      <c r="D783" s="39" t="str">
        <f aca="false">INDEX('Assumptions &amp; Data'!$B$142:$B$201,MATCH(B783,'Assumptions &amp; Data'!$A$142:$A$201,0))</f>
        <v>Jaipur</v>
      </c>
      <c r="E783" s="37" t="n">
        <f aca="false">'Assumptions &amp; Data'!D917</f>
        <v>15011</v>
      </c>
      <c r="F783" s="39" t="n">
        <f aca="false">E783*'Assumptions &amp; Data'!E917</f>
        <v>9092162.7</v>
      </c>
      <c r="G783" s="39" t="n">
        <f aca="false">F783*'Assumptions &amp; Data'!F917</f>
        <v>634632.95646</v>
      </c>
      <c r="H783" s="39" t="n">
        <f aca="false">F783-G783</f>
        <v>8457529.74354</v>
      </c>
      <c r="I783" s="39" t="n">
        <f aca="false">H783*'Assumptions &amp; Data'!G917</f>
        <v>1426785.2677352</v>
      </c>
      <c r="J783" s="39" t="n">
        <f aca="false">E783*'Assumptions &amp; Data'!H917</f>
        <v>164970.89</v>
      </c>
      <c r="K783" s="39" t="n">
        <f aca="false">H783*'Assumptions &amp; Data'!I917</f>
        <v>186911.407332234</v>
      </c>
      <c r="L783" s="39" t="n">
        <f aca="false">H783*'Assumptions &amp; Data'!J917</f>
        <v>332380.918921122</v>
      </c>
      <c r="M783" s="39" t="n">
        <f aca="false">I783+J783+K783-L783</f>
        <v>1446286.64614631</v>
      </c>
      <c r="N783" s="39" t="n">
        <f aca="false">E783*'Assumptions &amp; Data'!N917</f>
        <v>491610.25</v>
      </c>
      <c r="O783" s="39" t="n">
        <f aca="false">E783*'Assumptions &amp; Data'!O917</f>
        <v>132246.91</v>
      </c>
      <c r="P783" s="39" t="n">
        <f aca="false">H783*'Assumptions &amp; Data'!P917</f>
        <v>81192.285537984</v>
      </c>
      <c r="Q783" s="39" t="n">
        <f aca="false">M783-N783-O783-P783</f>
        <v>741237.200608326</v>
      </c>
      <c r="R783" s="39" t="n">
        <f aca="false">'Assumptions &amp; Data'!L917*'Assumptions &amp; Data'!M917</f>
        <v>256928</v>
      </c>
      <c r="S783" s="37" t="n">
        <f aca="false">'Assumptions &amp; Data'!Q917</f>
        <v>188000</v>
      </c>
      <c r="T783" s="37" t="n">
        <f aca="false">'Assumptions &amp; Data'!R917</f>
        <v>156229</v>
      </c>
      <c r="U783" s="37" t="n">
        <f aca="false">'Assumptions &amp; Data'!S917</f>
        <v>129642</v>
      </c>
      <c r="V783" s="39" t="n">
        <f aca="false">Q783-R783-S783-T783-U783</f>
        <v>10438.2006083258</v>
      </c>
      <c r="W783" s="39" t="n">
        <f aca="false">DAY(EOMONTH(C783,0))</f>
        <v>28</v>
      </c>
      <c r="X783" s="40" t="n">
        <f aca="false">E783/W783</f>
        <v>536.107142857143</v>
      </c>
      <c r="Y783" s="39" t="n">
        <f aca="false">R783+S783+T783+U783</f>
        <v>730799</v>
      </c>
    </row>
    <row r="784" customFormat="false" ht="15" hidden="false" customHeight="false" outlineLevel="0" collapsed="false">
      <c r="A784" s="37" t="str">
        <f aca="false">'Assumptions &amp; Data'!A918</f>
        <v>SM0714</v>
      </c>
      <c r="B784" s="37" t="str">
        <f aca="false">'Assumptions &amp; Data'!B918</f>
        <v>DS060</v>
      </c>
      <c r="C784" s="38" t="n">
        <f aca="false">'Assumptions &amp; Data'!C918</f>
        <v>46082</v>
      </c>
      <c r="D784" s="39" t="str">
        <f aca="false">INDEX('Assumptions &amp; Data'!$B$142:$B$201,MATCH(B784,'Assumptions &amp; Data'!$A$142:$A$201,0))</f>
        <v>Jaipur</v>
      </c>
      <c r="E784" s="37" t="n">
        <f aca="false">'Assumptions &amp; Data'!D918</f>
        <v>18151</v>
      </c>
      <c r="F784" s="39" t="n">
        <f aca="false">E784*'Assumptions &amp; Data'!E918</f>
        <v>11306257.9</v>
      </c>
      <c r="G784" s="39" t="n">
        <f aca="false">F784*'Assumptions &amp; Data'!F918</f>
        <v>754127.40193</v>
      </c>
      <c r="H784" s="39" t="n">
        <f aca="false">F784-G784</f>
        <v>10552130.49807</v>
      </c>
      <c r="I784" s="39" t="n">
        <f aca="false">H784*'Assumptions &amp; Data'!G918</f>
        <v>1755874.51487885</v>
      </c>
      <c r="J784" s="39" t="n">
        <f aca="false">E784*'Assumptions &amp; Data'!H918</f>
        <v>194034.19</v>
      </c>
      <c r="K784" s="39" t="n">
        <f aca="false">H784*'Assumptions &amp; Data'!I918</f>
        <v>256416.771103101</v>
      </c>
      <c r="L784" s="39" t="n">
        <f aca="false">H784*'Assumptions &amp; Data'!J918</f>
        <v>410477.876374923</v>
      </c>
      <c r="M784" s="39" t="n">
        <f aca="false">I784+J784+K784-L784</f>
        <v>1795847.59960703</v>
      </c>
      <c r="N784" s="39" t="n">
        <f aca="false">E784*'Assumptions &amp; Data'!N918</f>
        <v>588273.91</v>
      </c>
      <c r="O784" s="39" t="n">
        <f aca="false">E784*'Assumptions &amp; Data'!O918</f>
        <v>164266.55</v>
      </c>
      <c r="P784" s="39" t="n">
        <f aca="false">H784*'Assumptions &amp; Data'!P918</f>
        <v>107631.731080314</v>
      </c>
      <c r="Q784" s="39" t="n">
        <f aca="false">M784-N784-O784-P784</f>
        <v>935675.408526712</v>
      </c>
      <c r="R784" s="39" t="n">
        <f aca="false">'Assumptions &amp; Data'!L918*'Assumptions &amp; Data'!M918</f>
        <v>257168</v>
      </c>
      <c r="S784" s="37" t="n">
        <f aca="false">'Assumptions &amp; Data'!Q918</f>
        <v>188000</v>
      </c>
      <c r="T784" s="37" t="n">
        <f aca="false">'Assumptions &amp; Data'!R918</f>
        <v>163897</v>
      </c>
      <c r="U784" s="37" t="n">
        <f aca="false">'Assumptions &amp; Data'!S918</f>
        <v>151538</v>
      </c>
      <c r="V784" s="39" t="n">
        <f aca="false">Q784-R784-S784-T784-U784</f>
        <v>175072.408526712</v>
      </c>
      <c r="W784" s="39" t="n">
        <f aca="false">DAY(EOMONTH(C784,0))</f>
        <v>31</v>
      </c>
      <c r="X784" s="40" t="n">
        <f aca="false">E784/W784</f>
        <v>585.516129032258</v>
      </c>
      <c r="Y784" s="39" t="n">
        <f aca="false">R784+S784+T784+U784</f>
        <v>760603</v>
      </c>
    </row>
    <row r="785" customFormat="false" ht="15" hidden="false" customHeight="false" outlineLevel="0" collapsed="false">
      <c r="A785" s="37" t="str">
        <f aca="false">'Assumptions &amp; Data'!A919</f>
        <v>SM0715</v>
      </c>
      <c r="B785" s="37" t="str">
        <f aca="false">'Assumptions &amp; Data'!B919</f>
        <v>DS060</v>
      </c>
      <c r="C785" s="38" t="n">
        <f aca="false">'Assumptions &amp; Data'!C919</f>
        <v>46113</v>
      </c>
      <c r="D785" s="39" t="str">
        <f aca="false">INDEX('Assumptions &amp; Data'!$B$142:$B$201,MATCH(B785,'Assumptions &amp; Data'!$A$142:$A$201,0))</f>
        <v>Jaipur</v>
      </c>
      <c r="E785" s="37" t="n">
        <f aca="false">'Assumptions &amp; Data'!D919</f>
        <v>17950</v>
      </c>
      <c r="F785" s="39" t="n">
        <f aca="false">E785*'Assumptions &amp; Data'!E919</f>
        <v>11032070</v>
      </c>
      <c r="G785" s="39" t="n">
        <f aca="false">F785*'Assumptions &amp; Data'!F919</f>
        <v>795412.247</v>
      </c>
      <c r="H785" s="39" t="n">
        <f aca="false">F785-G785</f>
        <v>10236657.753</v>
      </c>
      <c r="I785" s="39" t="n">
        <f aca="false">H785*'Assumptions &amp; Data'!G919</f>
        <v>1735113.4891335</v>
      </c>
      <c r="J785" s="39" t="n">
        <f aca="false">E785*'Assumptions &amp; Data'!H919</f>
        <v>196193.5</v>
      </c>
      <c r="K785" s="39" t="n">
        <f aca="false">H785*'Assumptions &amp; Data'!I919</f>
        <v>254892.7780497</v>
      </c>
      <c r="L785" s="39" t="n">
        <f aca="false">H785*'Assumptions &amp; Data'!J919</f>
        <v>391040.3261646</v>
      </c>
      <c r="M785" s="39" t="n">
        <f aca="false">I785+J785+K785-L785</f>
        <v>1795159.4410186</v>
      </c>
      <c r="N785" s="39" t="n">
        <f aca="false">E785*'Assumptions &amp; Data'!N919</f>
        <v>582836.5</v>
      </c>
      <c r="O785" s="39" t="n">
        <f aca="false">E785*'Assumptions &amp; Data'!O919</f>
        <v>154190.5</v>
      </c>
      <c r="P785" s="39" t="n">
        <f aca="false">H785*'Assumptions &amp; Data'!P919</f>
        <v>98271.9144288</v>
      </c>
      <c r="Q785" s="39" t="n">
        <f aca="false">M785-N785-O785-P785</f>
        <v>959860.526589801</v>
      </c>
      <c r="R785" s="39" t="n">
        <f aca="false">'Assumptions &amp; Data'!L919*'Assumptions &amp; Data'!M919</f>
        <v>257392</v>
      </c>
      <c r="S785" s="37" t="n">
        <f aca="false">'Assumptions &amp; Data'!Q919</f>
        <v>188000</v>
      </c>
      <c r="T785" s="37" t="n">
        <f aca="false">'Assumptions &amp; Data'!R919</f>
        <v>162729</v>
      </c>
      <c r="U785" s="37" t="n">
        <f aca="false">'Assumptions &amp; Data'!S919</f>
        <v>123408</v>
      </c>
      <c r="V785" s="39" t="n">
        <f aca="false">Q785-R785-S785-T785-U785</f>
        <v>228331.526589801</v>
      </c>
      <c r="W785" s="39" t="n">
        <f aca="false">DAY(EOMONTH(C785,0))</f>
        <v>30</v>
      </c>
      <c r="X785" s="40" t="n">
        <f aca="false">E785/W785</f>
        <v>598.333333333333</v>
      </c>
      <c r="Y785" s="39" t="n">
        <f aca="false">R785+S785+T785+U785</f>
        <v>731529</v>
      </c>
    </row>
    <row r="786" customFormat="false" ht="15" hidden="false" customHeight="false" outlineLevel="0" collapsed="false">
      <c r="A786" s="37" t="str">
        <f aca="false">'Assumptions &amp; Data'!A920</f>
        <v>SM0716</v>
      </c>
      <c r="B786" s="37" t="str">
        <f aca="false">'Assumptions &amp; Data'!B920</f>
        <v>DS060</v>
      </c>
      <c r="C786" s="38" t="n">
        <f aca="false">'Assumptions &amp; Data'!C920</f>
        <v>46143</v>
      </c>
      <c r="D786" s="39" t="str">
        <f aca="false">INDEX('Assumptions &amp; Data'!$B$142:$B$201,MATCH(B786,'Assumptions &amp; Data'!$A$142:$A$201,0))</f>
        <v>Jaipur</v>
      </c>
      <c r="E786" s="37" t="n">
        <f aca="false">'Assumptions &amp; Data'!D920</f>
        <v>21292</v>
      </c>
      <c r="F786" s="39" t="n">
        <f aca="false">E786*'Assumptions &amp; Data'!E920</f>
        <v>13045608.4</v>
      </c>
      <c r="G786" s="39" t="n">
        <f aca="false">F786*'Assumptions &amp; Data'!F920</f>
        <v>858401.03272</v>
      </c>
      <c r="H786" s="39" t="n">
        <f aca="false">F786-G786</f>
        <v>12187207.36728</v>
      </c>
      <c r="I786" s="39" t="n">
        <f aca="false">H786*'Assumptions &amp; Data'!G920</f>
        <v>2071825.2524376</v>
      </c>
      <c r="J786" s="39" t="n">
        <f aca="false">E786*'Assumptions &amp; Data'!H920</f>
        <v>229527.76</v>
      </c>
      <c r="K786" s="39" t="n">
        <f aca="false">H786*'Assumptions &amp; Data'!I920</f>
        <v>298586.58049836</v>
      </c>
      <c r="L786" s="39" t="n">
        <f aca="false">H786*'Assumptions &amp; Data'!J920</f>
        <v>443614.348168992</v>
      </c>
      <c r="M786" s="39" t="n">
        <f aca="false">I786+J786+K786-L786</f>
        <v>2156325.24476697</v>
      </c>
      <c r="N786" s="39" t="n">
        <f aca="false">E786*'Assumptions &amp; Data'!N920</f>
        <v>687731.6</v>
      </c>
      <c r="O786" s="39" t="n">
        <f aca="false">E786*'Assumptions &amp; Data'!O920</f>
        <v>186943.76</v>
      </c>
      <c r="P786" s="39" t="n">
        <f aca="false">H786*'Assumptions &amp; Data'!P920</f>
        <v>116997.190725888</v>
      </c>
      <c r="Q786" s="39" t="n">
        <f aca="false">M786-N786-O786-P786</f>
        <v>1164652.69404108</v>
      </c>
      <c r="R786" s="39" t="n">
        <f aca="false">'Assumptions &amp; Data'!L920*'Assumptions &amp; Data'!M920</f>
        <v>257632</v>
      </c>
      <c r="S786" s="37" t="n">
        <f aca="false">'Assumptions &amp; Data'!Q920</f>
        <v>188000</v>
      </c>
      <c r="T786" s="37" t="n">
        <f aca="false">'Assumptions &amp; Data'!R920</f>
        <v>167192</v>
      </c>
      <c r="U786" s="37" t="n">
        <f aca="false">'Assumptions &amp; Data'!S920</f>
        <v>153720</v>
      </c>
      <c r="V786" s="39" t="n">
        <f aca="false">Q786-R786-S786-T786-U786</f>
        <v>398108.69404108</v>
      </c>
      <c r="W786" s="39" t="n">
        <f aca="false">DAY(EOMONTH(C786,0))</f>
        <v>31</v>
      </c>
      <c r="X786" s="40" t="n">
        <f aca="false">E786/W786</f>
        <v>686.838709677419</v>
      </c>
      <c r="Y786" s="39" t="n">
        <f aca="false">R786+S786+T786+U786</f>
        <v>766544</v>
      </c>
    </row>
    <row r="787" customFormat="false" ht="15" hidden="false" customHeight="false" outlineLevel="0" collapsed="false">
      <c r="A787" s="37" t="str">
        <f aca="false">'Assumptions &amp; Data'!A921</f>
        <v>SM0717</v>
      </c>
      <c r="B787" s="37" t="str">
        <f aca="false">'Assumptions &amp; Data'!B921</f>
        <v>DS060</v>
      </c>
      <c r="C787" s="38" t="n">
        <f aca="false">'Assumptions &amp; Data'!C921</f>
        <v>46174</v>
      </c>
      <c r="D787" s="39" t="str">
        <f aca="false">INDEX('Assumptions &amp; Data'!$B$142:$B$201,MATCH(B787,'Assumptions &amp; Data'!$A$142:$A$201,0))</f>
        <v>Jaipur</v>
      </c>
      <c r="E787" s="37" t="n">
        <f aca="false">'Assumptions &amp; Data'!D921</f>
        <v>21173</v>
      </c>
      <c r="F787" s="39" t="n">
        <f aca="false">E787*'Assumptions &amp; Data'!E921</f>
        <v>12894357</v>
      </c>
      <c r="G787" s="39" t="n">
        <f aca="false">F787*'Assumptions &amp; Data'!F921</f>
        <v>860053.6119</v>
      </c>
      <c r="H787" s="39" t="n">
        <f aca="false">F787-G787</f>
        <v>12034303.3881</v>
      </c>
      <c r="I787" s="39" t="n">
        <f aca="false">H787*'Assumptions &amp; Data'!G921</f>
        <v>2042221.28496057</v>
      </c>
      <c r="J787" s="39" t="n">
        <f aca="false">E787*'Assumptions &amp; Data'!H921</f>
        <v>231632.62</v>
      </c>
      <c r="K787" s="39" t="n">
        <f aca="false">H787*'Assumptions &amp; Data'!I921</f>
        <v>303264.44538012</v>
      </c>
      <c r="L787" s="39" t="n">
        <f aca="false">H787*'Assumptions &amp; Data'!J921</f>
        <v>434438.35231041</v>
      </c>
      <c r="M787" s="39" t="n">
        <f aca="false">I787+J787+K787-L787</f>
        <v>2142679.99803028</v>
      </c>
      <c r="N787" s="39" t="n">
        <f aca="false">E787*'Assumptions &amp; Data'!N921</f>
        <v>660809.33</v>
      </c>
      <c r="O787" s="39" t="n">
        <f aca="false">E787*'Assumptions &amp; Data'!O921</f>
        <v>193944.68</v>
      </c>
      <c r="P787" s="39" t="n">
        <f aca="false">H787*'Assumptions &amp; Data'!P921</f>
        <v>120343.033881</v>
      </c>
      <c r="Q787" s="39" t="n">
        <f aca="false">M787-N787-O787-P787</f>
        <v>1167582.95414928</v>
      </c>
      <c r="R787" s="39" t="n">
        <f aca="false">'Assumptions &amp; Data'!L921*'Assumptions &amp; Data'!M921</f>
        <v>257856</v>
      </c>
      <c r="S787" s="37" t="n">
        <f aca="false">'Assumptions &amp; Data'!Q921</f>
        <v>188000</v>
      </c>
      <c r="T787" s="37" t="n">
        <f aca="false">'Assumptions &amp; Data'!R921</f>
        <v>163048</v>
      </c>
      <c r="U787" s="37" t="n">
        <f aca="false">'Assumptions &amp; Data'!S921</f>
        <v>136312</v>
      </c>
      <c r="V787" s="39" t="n">
        <f aca="false">Q787-R787-S787-T787-U787</f>
        <v>422366.95414928</v>
      </c>
      <c r="W787" s="39" t="n">
        <f aca="false">DAY(EOMONTH(C787,0))</f>
        <v>30</v>
      </c>
      <c r="X787" s="40" t="n">
        <f aca="false">E787/W787</f>
        <v>705.766666666667</v>
      </c>
      <c r="Y787" s="39" t="n">
        <f aca="false">R787+S787+T787+U787</f>
        <v>745216</v>
      </c>
    </row>
    <row r="788" customFormat="false" ht="15" hidden="false" customHeight="false" outlineLevel="0" collapsed="false">
      <c r="A788" s="37" t="str">
        <f aca="false">'Assumptions &amp; Data'!A922</f>
        <v>SM0718</v>
      </c>
      <c r="B788" s="37" t="str">
        <f aca="false">'Assumptions &amp; Data'!B922</f>
        <v>DS060</v>
      </c>
      <c r="C788" s="38" t="n">
        <f aca="false">'Assumptions &amp; Data'!C922</f>
        <v>46204</v>
      </c>
      <c r="D788" s="39" t="str">
        <f aca="false">INDEX('Assumptions &amp; Data'!$B$142:$B$201,MATCH(B788,'Assumptions &amp; Data'!$A$142:$A$201,0))</f>
        <v>Jaipur</v>
      </c>
      <c r="E788" s="37" t="n">
        <f aca="false">'Assumptions &amp; Data'!D922</f>
        <v>20547</v>
      </c>
      <c r="F788" s="39" t="n">
        <f aca="false">E788*'Assumptions &amp; Data'!E922</f>
        <v>12367239.3</v>
      </c>
      <c r="G788" s="39" t="n">
        <f aca="false">F788*'Assumptions &amp; Data'!F922</f>
        <v>774189.18018</v>
      </c>
      <c r="H788" s="39" t="n">
        <f aca="false">F788-G788</f>
        <v>11593050.11982</v>
      </c>
      <c r="I788" s="39" t="n">
        <f aca="false">H788*'Assumptions &amp; Data'!G922</f>
        <v>1967340.60533345</v>
      </c>
      <c r="J788" s="39" t="n">
        <f aca="false">E788*'Assumptions &amp; Data'!H922</f>
        <v>214921.62</v>
      </c>
      <c r="K788" s="39" t="n">
        <f aca="false">H788*'Assumptions &amp; Data'!I922</f>
        <v>285189.032947572</v>
      </c>
      <c r="L788" s="39" t="n">
        <f aca="false">H788*'Assumptions &amp; Data'!J922</f>
        <v>447491.734625052</v>
      </c>
      <c r="M788" s="39" t="n">
        <f aca="false">I788+J788+K788-L788</f>
        <v>2019959.52365597</v>
      </c>
      <c r="N788" s="39" t="n">
        <f aca="false">E788*'Assumptions &amp; Data'!N922</f>
        <v>644559.39</v>
      </c>
      <c r="O788" s="39" t="n">
        <f aca="false">E788*'Assumptions &amp; Data'!O922</f>
        <v>182457.36</v>
      </c>
      <c r="P788" s="39" t="n">
        <f aca="false">H788*'Assumptions &amp; Data'!P922</f>
        <v>114771.196186218</v>
      </c>
      <c r="Q788" s="39" t="n">
        <f aca="false">M788-N788-O788-P788</f>
        <v>1078171.57746976</v>
      </c>
      <c r="R788" s="39" t="n">
        <f aca="false">'Assumptions &amp; Data'!L922*'Assumptions &amp; Data'!M922</f>
        <v>258096</v>
      </c>
      <c r="S788" s="37" t="n">
        <f aca="false">'Assumptions &amp; Data'!Q922</f>
        <v>188000</v>
      </c>
      <c r="T788" s="37" t="n">
        <f aca="false">'Assumptions &amp; Data'!R922</f>
        <v>172175</v>
      </c>
      <c r="U788" s="37" t="n">
        <f aca="false">'Assumptions &amp; Data'!S922</f>
        <v>132329</v>
      </c>
      <c r="V788" s="39" t="n">
        <f aca="false">Q788-R788-S788-T788-U788</f>
        <v>327571.577469756</v>
      </c>
      <c r="W788" s="39" t="n">
        <f aca="false">DAY(EOMONTH(C788,0))</f>
        <v>31</v>
      </c>
      <c r="X788" s="40" t="n">
        <f aca="false">E788/W788</f>
        <v>662.806451612903</v>
      </c>
      <c r="Y788" s="39" t="n">
        <f aca="false">R788+S788+T788+U788</f>
        <v>750600</v>
      </c>
    </row>
    <row r="789" customFormat="false" ht="15" hidden="false" customHeight="false" outlineLevel="0" collapsed="false">
      <c r="A789" s="37" t="str">
        <f aca="false">'Assumptions &amp; Data'!A923</f>
        <v>SM0719</v>
      </c>
      <c r="B789" s="37" t="str">
        <f aca="false">'Assumptions &amp; Data'!B923</f>
        <v>DS060</v>
      </c>
      <c r="C789" s="38" t="n">
        <f aca="false">'Assumptions &amp; Data'!C923</f>
        <v>46235</v>
      </c>
      <c r="D789" s="39" t="str">
        <f aca="false">INDEX('Assumptions &amp; Data'!$B$142:$B$201,MATCH(B789,'Assumptions &amp; Data'!$A$142:$A$201,0))</f>
        <v>Jaipur</v>
      </c>
      <c r="E789" s="37" t="n">
        <f aca="false">'Assumptions &amp; Data'!D923</f>
        <v>21529</v>
      </c>
      <c r="F789" s="39" t="n">
        <f aca="false">E789*'Assumptions &amp; Data'!E923</f>
        <v>13102549.4</v>
      </c>
      <c r="G789" s="39" t="n">
        <f aca="false">F789*'Assumptions &amp; Data'!F923</f>
        <v>855596.47582</v>
      </c>
      <c r="H789" s="39" t="n">
        <f aca="false">F789-G789</f>
        <v>12246952.92418</v>
      </c>
      <c r="I789" s="39" t="n">
        <f aca="false">H789*'Assumptions &amp; Data'!G923</f>
        <v>2083206.69240302</v>
      </c>
      <c r="J789" s="39" t="n">
        <f aca="false">E789*'Assumptions &amp; Data'!H923</f>
        <v>248014.08</v>
      </c>
      <c r="K789" s="39" t="n">
        <f aca="false">H789*'Assumptions &amp; Data'!I923</f>
        <v>307398.518396918</v>
      </c>
      <c r="L789" s="39" t="n">
        <f aca="false">H789*'Assumptions &amp; Data'!J923</f>
        <v>455586.648779496</v>
      </c>
      <c r="M789" s="39" t="n">
        <f aca="false">I789+J789+K789-L789</f>
        <v>2183032.64202044</v>
      </c>
      <c r="N789" s="39" t="n">
        <f aca="false">E789*'Assumptions &amp; Data'!N923</f>
        <v>674718.86</v>
      </c>
      <c r="O789" s="39" t="n">
        <f aca="false">E789*'Assumptions &amp; Data'!O923</f>
        <v>191823.39</v>
      </c>
      <c r="P789" s="39" t="n">
        <f aca="false">H789*'Assumptions &amp; Data'!P923</f>
        <v>126143.615119054</v>
      </c>
      <c r="Q789" s="39" t="n">
        <f aca="false">M789-N789-O789-P789</f>
        <v>1190346.77690139</v>
      </c>
      <c r="R789" s="39" t="n">
        <f aca="false">'Assumptions &amp; Data'!L923*'Assumptions &amp; Data'!M923</f>
        <v>258320</v>
      </c>
      <c r="S789" s="37" t="n">
        <f aca="false">'Assumptions &amp; Data'!Q923</f>
        <v>188000</v>
      </c>
      <c r="T789" s="37" t="n">
        <f aca="false">'Assumptions &amp; Data'!R923</f>
        <v>162801</v>
      </c>
      <c r="U789" s="37" t="n">
        <f aca="false">'Assumptions &amp; Data'!S923</f>
        <v>141030</v>
      </c>
      <c r="V789" s="39" t="n">
        <f aca="false">Q789-R789-S789-T789-U789</f>
        <v>440195.776901386</v>
      </c>
      <c r="W789" s="39" t="n">
        <f aca="false">DAY(EOMONTH(C789,0))</f>
        <v>31</v>
      </c>
      <c r="X789" s="40" t="n">
        <f aca="false">E789/W789</f>
        <v>694.483870967742</v>
      </c>
      <c r="Y789" s="39" t="n">
        <f aca="false">R789+S789+T789+U789</f>
        <v>750151</v>
      </c>
    </row>
    <row r="790" customFormat="false" ht="15" hidden="false" customHeight="false" outlineLevel="0" collapsed="false">
      <c r="A790" s="37" t="str">
        <f aca="false">'Assumptions &amp; Data'!A924</f>
        <v>SM0720</v>
      </c>
      <c r="B790" s="37" t="str">
        <f aca="false">'Assumptions &amp; Data'!B924</f>
        <v>DS060</v>
      </c>
      <c r="C790" s="38" t="n">
        <f aca="false">'Assumptions &amp; Data'!C924</f>
        <v>46266</v>
      </c>
      <c r="D790" s="39" t="str">
        <f aca="false">INDEX('Assumptions &amp; Data'!$B$142:$B$201,MATCH(B790,'Assumptions &amp; Data'!$A$142:$A$201,0))</f>
        <v>Jaipur</v>
      </c>
      <c r="E790" s="37" t="n">
        <f aca="false">'Assumptions &amp; Data'!D924</f>
        <v>21915</v>
      </c>
      <c r="F790" s="39" t="n">
        <f aca="false">E790*'Assumptions &amp; Data'!E924</f>
        <v>13431703.5</v>
      </c>
      <c r="G790" s="39" t="n">
        <f aca="false">F790*'Assumptions &amp; Data'!F924</f>
        <v>882462.91995</v>
      </c>
      <c r="H790" s="39" t="n">
        <f aca="false">F790-G790</f>
        <v>12549240.58005</v>
      </c>
      <c r="I790" s="39" t="n">
        <f aca="false">H790*'Assumptions &amp; Data'!G924</f>
        <v>2085683.78440431</v>
      </c>
      <c r="J790" s="39" t="n">
        <f aca="false">E790*'Assumptions &amp; Data'!H924</f>
        <v>241722.45</v>
      </c>
      <c r="K790" s="39" t="n">
        <f aca="false">H790*'Assumptions &amp; Data'!I924</f>
        <v>313731.01450125</v>
      </c>
      <c r="L790" s="39" t="n">
        <f aca="false">H790*'Assumptions &amp; Data'!J924</f>
        <v>448007.888707785</v>
      </c>
      <c r="M790" s="39" t="n">
        <f aca="false">I790+J790+K790-L790</f>
        <v>2193129.36019778</v>
      </c>
      <c r="N790" s="39" t="n">
        <f aca="false">E790*'Assumptions &amp; Data'!N924</f>
        <v>687035.25</v>
      </c>
      <c r="O790" s="39" t="n">
        <f aca="false">E790*'Assumptions &amp; Data'!O924</f>
        <v>187373.25</v>
      </c>
      <c r="P790" s="39" t="n">
        <f aca="false">H790*'Assumptions &amp; Data'!P924</f>
        <v>130512.10203252</v>
      </c>
      <c r="Q790" s="39" t="n">
        <f aca="false">M790-N790-O790-P790</f>
        <v>1188208.75816526</v>
      </c>
      <c r="R790" s="39" t="n">
        <f aca="false">'Assumptions &amp; Data'!L924*'Assumptions &amp; Data'!M924</f>
        <v>274720</v>
      </c>
      <c r="S790" s="37" t="n">
        <f aca="false">'Assumptions &amp; Data'!Q924</f>
        <v>188000</v>
      </c>
      <c r="T790" s="37" t="n">
        <f aca="false">'Assumptions &amp; Data'!R924</f>
        <v>165617</v>
      </c>
      <c r="U790" s="37" t="n">
        <f aca="false">'Assumptions &amp; Data'!S924</f>
        <v>125077</v>
      </c>
      <c r="V790" s="39" t="n">
        <f aca="false">Q790-R790-S790-T790-U790</f>
        <v>434794.758165255</v>
      </c>
      <c r="W790" s="39" t="n">
        <f aca="false">DAY(EOMONTH(C790,0))</f>
        <v>30</v>
      </c>
      <c r="X790" s="40" t="n">
        <f aca="false">E790/W790</f>
        <v>730.5</v>
      </c>
      <c r="Y790" s="39" t="n">
        <f aca="false">R790+S790+T790+U790</f>
        <v>753414</v>
      </c>
    </row>
  </sheetData>
  <autoFilter ref="A70:Y790"/>
  <mergeCells count="1">
    <mergeCell ref="G37:J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Z1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74" min="2" style="0" width="12"/>
  </cols>
  <sheetData>
    <row r="1" customFormat="false" ht="17.35" hidden="false" customHeight="false" outlineLevel="0" collapsed="false">
      <c r="A1" s="1" t="s">
        <v>1207</v>
      </c>
    </row>
    <row r="2" customFormat="false" ht="15" hidden="false" customHeight="false" outlineLevel="0" collapsed="false">
      <c r="A2" s="3" t="s">
        <v>1208</v>
      </c>
    </row>
    <row r="4" customFormat="false" ht="15" hidden="false" customHeight="false" outlineLevel="0" collapsed="false">
      <c r="A4" s="4" t="s">
        <v>1209</v>
      </c>
    </row>
    <row r="5" customFormat="false" ht="19.5" hidden="false" customHeight="true" outlineLevel="0" collapsed="false">
      <c r="A5" s="5" t="s">
        <v>1210</v>
      </c>
      <c r="B5" s="5" t="s">
        <v>34</v>
      </c>
      <c r="C5" s="5" t="s">
        <v>1211</v>
      </c>
      <c r="D5" s="5"/>
      <c r="E5" s="5"/>
      <c r="F5" s="5"/>
      <c r="G5" s="5"/>
    </row>
    <row r="6" customFormat="false" ht="24" hidden="false" customHeight="true" outlineLevel="0" collapsed="false">
      <c r="A6" s="8" t="s">
        <v>1212</v>
      </c>
      <c r="B6" s="21" t="n">
        <f aca="false">PERCENTILE($Y$106:$Y$165,0.75)</f>
        <v>35.6215257151989</v>
      </c>
      <c r="C6" s="13" t="s">
        <v>1213</v>
      </c>
      <c r="D6" s="13"/>
      <c r="E6" s="13"/>
      <c r="F6" s="13"/>
      <c r="G6" s="13"/>
    </row>
    <row r="7" customFormat="false" ht="24" hidden="false" customHeight="true" outlineLevel="0" collapsed="false">
      <c r="A7" s="8" t="s">
        <v>1214</v>
      </c>
      <c r="B7" s="22" t="n">
        <f aca="false">MEDIAN($Z$106:$Z$165)</f>
        <v>0.0548051000032568</v>
      </c>
      <c r="C7" s="13" t="s">
        <v>1215</v>
      </c>
      <c r="D7" s="13"/>
      <c r="E7" s="13"/>
      <c r="F7" s="13"/>
      <c r="G7" s="13"/>
    </row>
    <row r="8" customFormat="false" ht="24" hidden="false" customHeight="true" outlineLevel="0" collapsed="false">
      <c r="A8" s="8" t="s">
        <v>1216</v>
      </c>
      <c r="B8" s="22" t="n">
        <f aca="false">MEDIAN($AA$106:$AA$165)</f>
        <v>0.0214045937102871</v>
      </c>
      <c r="C8" s="13" t="s">
        <v>1215</v>
      </c>
      <c r="D8" s="13"/>
      <c r="E8" s="13"/>
      <c r="F8" s="13"/>
      <c r="G8" s="13"/>
    </row>
    <row r="9" customFormat="false" ht="24" hidden="false" customHeight="true" outlineLevel="0" collapsed="false">
      <c r="A9" s="8" t="s">
        <v>1217</v>
      </c>
      <c r="B9" s="21" t="n">
        <f aca="false">MEDIAN($AB$106:$AB$165)</f>
        <v>38.2061565964608</v>
      </c>
      <c r="C9" s="13" t="s">
        <v>1215</v>
      </c>
      <c r="D9" s="13"/>
      <c r="E9" s="13"/>
      <c r="F9" s="13"/>
      <c r="G9" s="13"/>
    </row>
    <row r="10" customFormat="false" ht="24" hidden="false" customHeight="true" outlineLevel="0" collapsed="false">
      <c r="A10" s="8" t="s">
        <v>1218</v>
      </c>
      <c r="B10" s="21" t="n">
        <f aca="false">MEDIAN($AC$106:$AC$165)</f>
        <v>38.1680547862171</v>
      </c>
      <c r="C10" s="13" t="s">
        <v>1215</v>
      </c>
      <c r="D10" s="13"/>
      <c r="E10" s="13"/>
      <c r="F10" s="13"/>
      <c r="G10" s="13"/>
    </row>
    <row r="11" customFormat="false" ht="24" hidden="false" customHeight="true" outlineLevel="0" collapsed="false">
      <c r="A11" s="8" t="s">
        <v>1219</v>
      </c>
      <c r="B11" s="21" t="n">
        <f aca="false">MEDIAN($AD$106:$AD$165)</f>
        <v>384.236844140889</v>
      </c>
      <c r="C11" s="13" t="s">
        <v>1215</v>
      </c>
      <c r="D11" s="13"/>
      <c r="E11" s="13"/>
      <c r="F11" s="13"/>
      <c r="G11" s="13"/>
    </row>
    <row r="12" customFormat="false" ht="24" hidden="false" customHeight="true" outlineLevel="0" collapsed="false">
      <c r="A12" s="8" t="s">
        <v>1220</v>
      </c>
      <c r="B12" s="21" t="n">
        <f aca="false">MEDIAN($AE$106:$AE$165)</f>
        <v>64.7370331080726</v>
      </c>
      <c r="C12" s="13" t="s">
        <v>1215</v>
      </c>
      <c r="D12" s="13"/>
      <c r="E12" s="13"/>
      <c r="F12" s="13"/>
      <c r="G12" s="13"/>
    </row>
    <row r="14" customFormat="false" ht="15" hidden="false" customHeight="false" outlineLevel="0" collapsed="false">
      <c r="A14" s="4" t="s">
        <v>1221</v>
      </c>
    </row>
    <row r="15" customFormat="false" ht="30" hidden="false" customHeight="true" outlineLevel="0" collapsed="false">
      <c r="A15" s="5" t="s">
        <v>1222</v>
      </c>
      <c r="B15" s="5" t="s">
        <v>1223</v>
      </c>
      <c r="C15" s="5" t="s">
        <v>1224</v>
      </c>
      <c r="D15" s="5" t="s">
        <v>1225</v>
      </c>
      <c r="E15" s="5" t="s">
        <v>1226</v>
      </c>
      <c r="F15" s="5" t="s">
        <v>1227</v>
      </c>
      <c r="G15" s="5" t="s">
        <v>1228</v>
      </c>
      <c r="H15" s="5" t="s">
        <v>1229</v>
      </c>
      <c r="I15" s="5" t="s">
        <v>1230</v>
      </c>
      <c r="J15" s="5" t="s">
        <v>1231</v>
      </c>
      <c r="K15" s="5"/>
      <c r="L15" s="5"/>
      <c r="M15" s="5"/>
      <c r="N15" s="5"/>
      <c r="O15" s="5"/>
      <c r="P15" s="5"/>
      <c r="Q15" s="5" t="s">
        <v>1232</v>
      </c>
      <c r="R15" s="5" t="s">
        <v>1233</v>
      </c>
    </row>
    <row r="16" customFormat="false" ht="15" hidden="false" customHeight="true" outlineLevel="0" collapsed="false">
      <c r="A16" s="6" t="s">
        <v>1234</v>
      </c>
      <c r="B16" s="32" t="n">
        <f aca="false">COUNTIF($BK$106:$BK$165,A16)</f>
        <v>14</v>
      </c>
      <c r="C16" s="19" t="n">
        <f aca="false">SUMIF($BK$106:$BK$165,A16,$F$106:$F$165)</f>
        <v>3052.05325366833</v>
      </c>
      <c r="D16" s="20" t="n">
        <f aca="false">C16/C$21</f>
        <v>0.290112159164256</v>
      </c>
      <c r="E16" s="19" t="n">
        <f aca="false">SUMIF($BK$106:$BK$165,A16,$O$106:$O$165)</f>
        <v>123.950999161869</v>
      </c>
      <c r="F16" s="20" t="n">
        <f aca="false">IF(C16&gt;0,E16/C16,0)</f>
        <v>0.0406123317189466</v>
      </c>
      <c r="G16" s="32" t="n">
        <f aca="false">IF(B16&gt;0,AVERAGEIF($BK$106:$BK$165,A16,$E$106:$E$165),0)</f>
        <v>1212.11878881988</v>
      </c>
      <c r="H16" s="19" t="n">
        <f aca="false">IF(B16&gt;0,AVERAGEIF($BK$106:$BK$165,A16,$D$106:$D$165),0)</f>
        <v>29.7142857142857</v>
      </c>
      <c r="I16" s="32" t="n">
        <f aca="false">COUNTIFS($BK$106:$BK$165,A16,$O$106:$O$165,"&lt;0")</f>
        <v>0</v>
      </c>
      <c r="J16" s="7" t="s">
        <v>1235</v>
      </c>
      <c r="K16" s="7"/>
      <c r="L16" s="7"/>
      <c r="M16" s="7"/>
      <c r="N16" s="7"/>
      <c r="O16" s="7"/>
      <c r="P16" s="7"/>
      <c r="Q16" s="32" t="n">
        <f aca="false">SUMIFS('Business Case &amp; Scenarios'!$AD$176:$AD$235,'Business Case &amp; Scenarios'!$B$176:$B$235,A16)</f>
        <v>0</v>
      </c>
      <c r="R16" s="32" t="n">
        <f aca="false">COUNTIFS('Business Case &amp; Scenarios'!$B$176:$B$235,A16,'Business Case &amp; Scenarios'!$AF$176:$AF$235,"&lt;0")</f>
        <v>0</v>
      </c>
    </row>
    <row r="17" customFormat="false" ht="15" hidden="false" customHeight="true" outlineLevel="0" collapsed="false">
      <c r="A17" s="6" t="s">
        <v>1236</v>
      </c>
      <c r="B17" s="32" t="n">
        <f aca="false">COUNTIF($BK$106:$BK$165,A17)</f>
        <v>28</v>
      </c>
      <c r="C17" s="19" t="n">
        <f aca="false">SUMIF($BK$106:$BK$165,A17,$F$106:$F$165)</f>
        <v>5949.46156515843</v>
      </c>
      <c r="D17" s="20" t="n">
        <f aca="false">C17/C$21</f>
        <v>0.56552458200339</v>
      </c>
      <c r="E17" s="19" t="n">
        <f aca="false">SUMIF($BK$106:$BK$165,A17,$O$106:$O$165)</f>
        <v>182.595915407107</v>
      </c>
      <c r="F17" s="20" t="n">
        <f aca="false">IF(C17&gt;0,E17/C17,0)</f>
        <v>0.0306911664874743</v>
      </c>
      <c r="G17" s="32" t="n">
        <f aca="false">IF(B17&gt;0,AVERAGEIF($BK$106:$BK$165,A17,$E$106:$E$165),0)</f>
        <v>1108.08307453416</v>
      </c>
      <c r="H17" s="19" t="n">
        <f aca="false">IF(B17&gt;0,AVERAGEIF($BK$106:$BK$165,A17,$D$106:$D$165),0)</f>
        <v>27.3928571428571</v>
      </c>
      <c r="I17" s="32" t="n">
        <f aca="false">COUNTIFS($BK$106:$BK$165,A17,$O$106:$O$165,"&lt;0")</f>
        <v>4</v>
      </c>
      <c r="J17" s="7" t="s">
        <v>1237</v>
      </c>
      <c r="K17" s="7"/>
      <c r="L17" s="7"/>
      <c r="M17" s="7"/>
      <c r="N17" s="7"/>
      <c r="O17" s="7"/>
      <c r="P17" s="7"/>
      <c r="Q17" s="32" t="n">
        <f aca="false">SUMIFS('Business Case &amp; Scenarios'!$AD$176:$AD$235,'Business Case &amp; Scenarios'!$B$176:$B$235,A17)</f>
        <v>0</v>
      </c>
      <c r="R17" s="32" t="n">
        <f aca="false">COUNTIFS('Business Case &amp; Scenarios'!$B$176:$B$235,A17,'Business Case &amp; Scenarios'!$AF$176:$AF$235,"&lt;0")</f>
        <v>1</v>
      </c>
    </row>
    <row r="18" customFormat="false" ht="15" hidden="false" customHeight="true" outlineLevel="0" collapsed="false">
      <c r="A18" s="6" t="s">
        <v>1238</v>
      </c>
      <c r="B18" s="32" t="n">
        <f aca="false">COUNTIF($BK$106:$BK$165,A18)</f>
        <v>7</v>
      </c>
      <c r="C18" s="19" t="n">
        <f aca="false">SUMIF($BK$106:$BK$165,A18,$F$106:$F$165)</f>
        <v>625.829338441033</v>
      </c>
      <c r="D18" s="20" t="n">
        <f aca="false">C18/C$21</f>
        <v>0.0594880513389615</v>
      </c>
      <c r="E18" s="19" t="n">
        <f aca="false">SUMIF($BK$106:$BK$165,A18,$O$106:$O$165)</f>
        <v>-29.5991776638873</v>
      </c>
      <c r="F18" s="20" t="n">
        <f aca="false">IF(C18&gt;0,E18/C18,0)</f>
        <v>-0.0472959253358432</v>
      </c>
      <c r="G18" s="32" t="n">
        <f aca="false">IF(B18&gt;0,AVERAGEIF($BK$106:$BK$165,A18,$E$106:$E$165),0)</f>
        <v>495.076086956522</v>
      </c>
      <c r="H18" s="19" t="n">
        <f aca="false">IF(B18&gt;0,AVERAGEIF($BK$106:$BK$165,A18,$D$106:$D$165),0)</f>
        <v>9.71428571428571</v>
      </c>
      <c r="I18" s="32" t="n">
        <f aca="false">COUNTIFS($BK$106:$BK$165,A18,$O$106:$O$165,"&lt;0")</f>
        <v>7</v>
      </c>
      <c r="J18" s="7" t="s">
        <v>1239</v>
      </c>
      <c r="K18" s="7"/>
      <c r="L18" s="7"/>
      <c r="M18" s="7"/>
      <c r="N18" s="7"/>
      <c r="O18" s="7"/>
      <c r="P18" s="7"/>
      <c r="Q18" s="32" t="n">
        <f aca="false">SUMIFS('Business Case &amp; Scenarios'!$AD$176:$AD$235,'Business Case &amp; Scenarios'!$B$176:$B$235,A18)</f>
        <v>0</v>
      </c>
      <c r="R18" s="32" t="n">
        <f aca="false">COUNTIFS('Business Case &amp; Scenarios'!$B$176:$B$235,A18,'Business Case &amp; Scenarios'!$AF$176:$AF$235,"&lt;0")</f>
        <v>7</v>
      </c>
    </row>
    <row r="19" customFormat="false" ht="15" hidden="false" customHeight="true" outlineLevel="0" collapsed="false">
      <c r="A19" s="6" t="s">
        <v>1240</v>
      </c>
      <c r="B19" s="32" t="n">
        <f aca="false">COUNTIF($BK$106:$BK$165,A19)</f>
        <v>8</v>
      </c>
      <c r="C19" s="19" t="n">
        <f aca="false">SUMIF($BK$106:$BK$165,A19,$F$106:$F$165)</f>
        <v>507.726759588</v>
      </c>
      <c r="D19" s="20" t="n">
        <f aca="false">C19/C$21</f>
        <v>0.0482618402259218</v>
      </c>
      <c r="E19" s="19" t="n">
        <f aca="false">SUMIF($BK$106:$BK$165,A19,$O$106:$O$165)</f>
        <v>-69.6543770918222</v>
      </c>
      <c r="F19" s="20" t="n">
        <f aca="false">IF(C19&gt;0,E19/C19,0)</f>
        <v>-0.137188705886497</v>
      </c>
      <c r="G19" s="32" t="n">
        <f aca="false">IF(B19&gt;0,AVERAGEIF($BK$106:$BK$165,A19,$E$106:$E$165),0)</f>
        <v>344.921195652174</v>
      </c>
      <c r="H19" s="19" t="n">
        <f aca="false">IF(B19&gt;0,AVERAGEIF($BK$106:$BK$165,A19,$D$106:$D$165),0)</f>
        <v>8.125</v>
      </c>
      <c r="I19" s="32" t="n">
        <f aca="false">COUNTIFS($BK$106:$BK$165,A19,$O$106:$O$165,"&lt;0")</f>
        <v>8</v>
      </c>
      <c r="J19" s="7" t="s">
        <v>1241</v>
      </c>
      <c r="K19" s="7"/>
      <c r="L19" s="7"/>
      <c r="M19" s="7"/>
      <c r="N19" s="7"/>
      <c r="O19" s="7"/>
      <c r="P19" s="7"/>
      <c r="Q19" s="32" t="n">
        <f aca="false">SUMIFS('Business Case &amp; Scenarios'!$AD$176:$AD$235,'Business Case &amp; Scenarios'!$B$176:$B$235,A19)</f>
        <v>0</v>
      </c>
      <c r="R19" s="32" t="n">
        <f aca="false">COUNTIFS('Business Case &amp; Scenarios'!$B$176:$B$235,A19,'Business Case &amp; Scenarios'!$AF$176:$AF$235,"&lt;0")</f>
        <v>8</v>
      </c>
    </row>
    <row r="20" customFormat="false" ht="15" hidden="false" customHeight="true" outlineLevel="0" collapsed="false">
      <c r="A20" s="6" t="s">
        <v>1242</v>
      </c>
      <c r="B20" s="32" t="n">
        <f aca="false">COUNTIF($BK$106:$BK$165,A20)</f>
        <v>3</v>
      </c>
      <c r="C20" s="19" t="n">
        <f aca="false">SUMIF($BK$106:$BK$165,A20,$F$106:$F$165)</f>
        <v>385.181879375033</v>
      </c>
      <c r="D20" s="20" t="n">
        <f aca="false">C20/C$21</f>
        <v>0.0366133672674705</v>
      </c>
      <c r="E20" s="19" t="n">
        <f aca="false">SUMIF($BK$106:$BK$165,A20,$O$106:$O$165)</f>
        <v>-15.4801156981229</v>
      </c>
      <c r="F20" s="20" t="n">
        <f aca="false">IF(C20&gt;0,E20/C20,0)</f>
        <v>-0.0401891068272468</v>
      </c>
      <c r="G20" s="32" t="n">
        <f aca="false">IF(B20&gt;0,AVERAGEIF($BK$106:$BK$165,A20,$E$106:$E$165),0)</f>
        <v>657.985507246377</v>
      </c>
      <c r="H20" s="19" t="n">
        <f aca="false">IF(B20&gt;0,AVERAGEIF($BK$106:$BK$165,A20,$D$106:$D$165),0)</f>
        <v>12.6666666666667</v>
      </c>
      <c r="I20" s="32" t="n">
        <f aca="false">COUNTIFS($BK$106:$BK$165,A20,$O$106:$O$165,"&lt;0")</f>
        <v>3</v>
      </c>
      <c r="J20" s="7" t="s">
        <v>1243</v>
      </c>
      <c r="K20" s="7"/>
      <c r="L20" s="7"/>
      <c r="M20" s="7"/>
      <c r="N20" s="7"/>
      <c r="O20" s="7"/>
      <c r="P20" s="7"/>
      <c r="Q20" s="32" t="n">
        <f aca="false">SUMIFS('Business Case &amp; Scenarios'!$AD$176:$AD$235,'Business Case &amp; Scenarios'!$B$176:$B$235,A20)</f>
        <v>2</v>
      </c>
      <c r="R20" s="32" t="n">
        <f aca="false">COUNTIFS('Business Case &amp; Scenarios'!$B$176:$B$235,A20,'Business Case &amp; Scenarios'!$AF$176:$AF$235,"&lt;0")</f>
        <v>1</v>
      </c>
    </row>
    <row r="21" customFormat="false" ht="15" hidden="false" customHeight="false" outlineLevel="0" collapsed="false">
      <c r="A21" s="6" t="s">
        <v>317</v>
      </c>
      <c r="B21" s="33" t="n">
        <f aca="false">SUM(B16:B20)</f>
        <v>60</v>
      </c>
      <c r="C21" s="21" t="n">
        <f aca="false">SUM(C16:C20)</f>
        <v>10520.2527962308</v>
      </c>
      <c r="D21" s="22" t="n">
        <f aca="false">C21/C21</f>
        <v>1</v>
      </c>
      <c r="E21" s="21" t="n">
        <f aca="false">SUM(E16:E20)</f>
        <v>191.813244115143</v>
      </c>
      <c r="F21" s="22" t="n">
        <f aca="false">E21/C21</f>
        <v>0.018232759975489</v>
      </c>
      <c r="G21" s="33" t="n">
        <f aca="false">AVERAGE($E$106:$E$165)</f>
        <v>936.580797101449</v>
      </c>
      <c r="H21" s="21" t="n">
        <f aca="false">AVERAGE($D$106:$D$165)</f>
        <v>22.5666666666667</v>
      </c>
      <c r="I21" s="33" t="n">
        <f aca="false">SUM(I16:I20)</f>
        <v>22</v>
      </c>
      <c r="Q21" s="33" t="n">
        <f aca="false">SUM(Q16:Q20)</f>
        <v>2</v>
      </c>
      <c r="R21" s="33" t="n">
        <f aca="false">SUM(R16:R20)</f>
        <v>17</v>
      </c>
    </row>
    <row r="22" customFormat="false" ht="15" hidden="false" customHeight="false" outlineLevel="0" collapsed="false">
      <c r="A22" s="3" t="s">
        <v>1244</v>
      </c>
      <c r="E22" s="41" t="n">
        <f aca="false">E21-'Financial Analysis'!O22/'Assumptions &amp; Data'!$C$85</f>
        <v>0</v>
      </c>
      <c r="F22" s="2" t="str">
        <f aca="false">IF(ABS(E22)&lt;0.01,"PASS","FAIL")</f>
        <v>PASS</v>
      </c>
    </row>
    <row r="24" customFormat="false" ht="15" hidden="false" customHeight="false" outlineLevel="0" collapsed="false">
      <c r="A24" s="4" t="s">
        <v>1245</v>
      </c>
    </row>
    <row r="25" customFormat="false" ht="30" hidden="false" customHeight="true" outlineLevel="0" collapsed="false">
      <c r="A25" s="5" t="s">
        <v>291</v>
      </c>
      <c r="B25" s="5" t="s">
        <v>1223</v>
      </c>
      <c r="C25" s="5" t="s">
        <v>1224</v>
      </c>
      <c r="D25" s="5" t="s">
        <v>1226</v>
      </c>
      <c r="E25" s="5" t="s">
        <v>1227</v>
      </c>
      <c r="F25" s="5" t="s">
        <v>1228</v>
      </c>
      <c r="G25" s="5" t="s">
        <v>1230</v>
      </c>
      <c r="H25" s="5" t="s">
        <v>1246</v>
      </c>
      <c r="I25" s="5" t="s">
        <v>1247</v>
      </c>
      <c r="J25" s="5" t="s">
        <v>1248</v>
      </c>
    </row>
    <row r="26" customFormat="false" ht="15" hidden="false" customHeight="false" outlineLevel="0" collapsed="false">
      <c r="A26" s="12" t="s">
        <v>296</v>
      </c>
      <c r="B26" s="32" t="n">
        <f aca="false">COUNTIF($B$106:$B$165,A26)</f>
        <v>14</v>
      </c>
      <c r="C26" s="19" t="n">
        <f aca="false">SUMIF($B$106:$B$165,A26,$F$106:$F$165)</f>
        <v>2926.26002063617</v>
      </c>
      <c r="D26" s="19" t="n">
        <f aca="false">SUMIF($B$106:$B$165,A26,$O$106:$O$165)</f>
        <v>86.3322652929515</v>
      </c>
      <c r="E26" s="20" t="n">
        <f aca="false">D26/C26</f>
        <v>0.029502595355208</v>
      </c>
      <c r="F26" s="32" t="n">
        <f aca="false">AVERAGEIF($B$106:$B$165,A26,$E$106:$E$165)</f>
        <v>1118.89130434783</v>
      </c>
      <c r="G26" s="32" t="n">
        <f aca="false">COUNTIFS($B$106:$B$165,A26,$O$106:$O$165,"&lt;0")</f>
        <v>2</v>
      </c>
      <c r="H26" s="20" t="n">
        <f aca="false">SUMPRODUCT(($B$106:$B$165=A26)*$H$106:$H$165*$AF$106:$AF$165)/SUMIF($B$106:$B$165,A26,$AF$106:$AF$165)</f>
        <v>0.0573676784232897</v>
      </c>
      <c r="I26" s="19" t="n">
        <f aca="false">SUMPRODUCT(($B$106:$B$165=A26)*$J$106:$J$165*$E$106:$E$165)/SUMIF($B$106:$B$165,A26,$E$106:$E$165)</f>
        <v>37.6320347129895</v>
      </c>
      <c r="J26" s="19" t="n">
        <f aca="false">AVERAGEIF($B$106:$B$165,A26,$L$106:$L$165)</f>
        <v>36.2674093986879</v>
      </c>
    </row>
    <row r="27" customFormat="false" ht="15" hidden="false" customHeight="false" outlineLevel="0" collapsed="false">
      <c r="A27" s="12" t="s">
        <v>297</v>
      </c>
      <c r="B27" s="32" t="n">
        <f aca="false">COUNTIF($B$106:$B$165,A27)</f>
        <v>12</v>
      </c>
      <c r="C27" s="19" t="n">
        <f aca="false">SUMIF($B$106:$B$165,A27,$F$106:$F$165)</f>
        <v>2269.03360151583</v>
      </c>
      <c r="D27" s="19" t="n">
        <f aca="false">SUMIF($B$106:$B$165,A27,$O$106:$O$165)</f>
        <v>4.17882154504919</v>
      </c>
      <c r="E27" s="20" t="n">
        <f aca="false">D27/C27</f>
        <v>0.00184167459761615</v>
      </c>
      <c r="F27" s="32" t="n">
        <f aca="false">AVERAGEIF($B$106:$B$165,A27,$E$106:$E$165)</f>
        <v>942.11865942029</v>
      </c>
      <c r="G27" s="32" t="n">
        <f aca="false">COUNTIFS($B$106:$B$165,A27,$O$106:$O$165,"&lt;0")</f>
        <v>6</v>
      </c>
      <c r="H27" s="20" t="n">
        <f aca="false">SUMPRODUCT(($B$106:$B$165=A27)*$H$106:$H$165*$AF$106:$AF$165)/SUMIF($B$106:$B$165,A27,$AF$106:$AF$165)</f>
        <v>0.060000503569965</v>
      </c>
      <c r="I27" s="19" t="n">
        <f aca="false">SUMPRODUCT(($B$106:$B$165=A27)*$J$106:$J$165*$E$106:$E$165)/SUMIF($B$106:$B$165,A27,$E$106:$E$165)</f>
        <v>42.9461871610299</v>
      </c>
      <c r="J27" s="19" t="n">
        <f aca="false">AVERAGEIF($B$106:$B$165,A27,$L$106:$L$165)</f>
        <v>38.0726119088787</v>
      </c>
    </row>
    <row r="28" customFormat="false" ht="15" hidden="false" customHeight="false" outlineLevel="0" collapsed="false">
      <c r="A28" s="12" t="s">
        <v>298</v>
      </c>
      <c r="B28" s="32" t="n">
        <f aca="false">COUNTIF($B$106:$B$165,A28)</f>
        <v>12</v>
      </c>
      <c r="C28" s="19" t="n">
        <f aca="false">SUMIF($B$106:$B$165,A28,$F$106:$F$165)</f>
        <v>2244.75110347563</v>
      </c>
      <c r="D28" s="19" t="n">
        <f aca="false">SUMIF($B$106:$B$165,A28,$O$106:$O$165)</f>
        <v>52.9951285068493</v>
      </c>
      <c r="E28" s="20" t="n">
        <f aca="false">D28/C28</f>
        <v>0.0236084652881092</v>
      </c>
      <c r="F28" s="32" t="n">
        <f aca="false">AVERAGEIF($B$106:$B$165,A28,$E$106:$E$165)</f>
        <v>941.382246376812</v>
      </c>
      <c r="G28" s="32" t="n">
        <f aca="false">COUNTIFS($B$106:$B$165,A28,$O$106:$O$165,"&lt;0")</f>
        <v>4</v>
      </c>
      <c r="H28" s="20" t="n">
        <f aca="false">SUMPRODUCT(($B$106:$B$165=A28)*$H$106:$H$165*$AF$106:$AF$165)/SUMIF($B$106:$B$165,A28,$AF$106:$AF$165)</f>
        <v>0.0575354858383233</v>
      </c>
      <c r="I28" s="19" t="n">
        <f aca="false">SUMPRODUCT(($B$106:$B$165=A28)*$J$106:$J$165*$E$106:$E$165)/SUMIF($B$106:$B$165,A28,$E$106:$E$165)</f>
        <v>39.5816369411307</v>
      </c>
      <c r="J28" s="19" t="n">
        <f aca="false">AVERAGEIF($B$106:$B$165,A28,$L$106:$L$165)</f>
        <v>36.4112179409893</v>
      </c>
    </row>
    <row r="29" customFormat="false" ht="15" hidden="false" customHeight="false" outlineLevel="0" collapsed="false">
      <c r="A29" s="12" t="s">
        <v>299</v>
      </c>
      <c r="B29" s="32" t="n">
        <f aca="false">COUNTIF($B$106:$B$165,A29)</f>
        <v>8</v>
      </c>
      <c r="C29" s="19" t="n">
        <f aca="false">SUMIF($B$106:$B$165,A29,$F$106:$F$165)</f>
        <v>1118.87191990253</v>
      </c>
      <c r="D29" s="19" t="n">
        <f aca="false">SUMIF($B$106:$B$165,A29,$O$106:$O$165)</f>
        <v>7.74931901724373</v>
      </c>
      <c r="E29" s="20" t="n">
        <f aca="false">D29/C29</f>
        <v>0.00692601081446283</v>
      </c>
      <c r="F29" s="32" t="n">
        <f aca="false">AVERAGEIF($B$106:$B$165,A29,$E$106:$E$165)</f>
        <v>774.236413043478</v>
      </c>
      <c r="G29" s="32" t="n">
        <f aca="false">COUNTIFS($B$106:$B$165,A29,$O$106:$O$165,"&lt;0")</f>
        <v>5</v>
      </c>
      <c r="H29" s="20" t="n">
        <f aca="false">SUMPRODUCT(($B$106:$B$165=A29)*$H$106:$H$165*$AF$106:$AF$165)/SUMIF($B$106:$B$165,A29,$AF$106:$AF$165)</f>
        <v>0.0617603675802242</v>
      </c>
      <c r="I29" s="19" t="n">
        <f aca="false">SUMPRODUCT(($B$106:$B$165=A29)*$J$106:$J$165*$E$106:$E$165)/SUMIF($B$106:$B$165,A29,$E$106:$E$165)</f>
        <v>37.2614170694127</v>
      </c>
      <c r="J29" s="19" t="n">
        <f aca="false">AVERAGEIF($B$106:$B$165,A29,$L$106:$L$165)</f>
        <v>34.3964613871984</v>
      </c>
    </row>
    <row r="30" customFormat="false" ht="15" hidden="false" customHeight="false" outlineLevel="0" collapsed="false">
      <c r="A30" s="12" t="s">
        <v>300</v>
      </c>
      <c r="B30" s="32" t="n">
        <f aca="false">COUNTIF($B$106:$B$165,A30)</f>
        <v>8</v>
      </c>
      <c r="C30" s="19" t="n">
        <f aca="false">SUMIF($B$106:$B$165,A30,$F$106:$F$165)</f>
        <v>986.620540328167</v>
      </c>
      <c r="D30" s="19" t="n">
        <f aca="false">SUMIF($B$106:$B$165,A30,$O$106:$O$165)</f>
        <v>-0.106662130734609</v>
      </c>
      <c r="E30" s="20" t="n">
        <f aca="false">D30/C30</f>
        <v>-0.000108108564919124</v>
      </c>
      <c r="F30" s="32" t="n">
        <f aca="false">AVERAGEIF($B$106:$B$165,A30,$E$106:$E$165)</f>
        <v>717.64402173913</v>
      </c>
      <c r="G30" s="32" t="n">
        <f aca="false">COUNTIFS($B$106:$B$165,A30,$O$106:$O$165,"&lt;0")</f>
        <v>4</v>
      </c>
      <c r="H30" s="20" t="n">
        <f aca="false">SUMPRODUCT(($B$106:$B$165=A30)*$H$106:$H$165*$AF$106:$AF$165)/SUMIF($B$106:$B$165,A30,$AF$106:$AF$165)</f>
        <v>0.0607874503703868</v>
      </c>
      <c r="I30" s="19" t="n">
        <f aca="false">SUMPRODUCT(($B$106:$B$165=A30)*$J$106:$J$165*$E$106:$E$165)/SUMIF($B$106:$B$165,A30,$E$106:$E$165)</f>
        <v>39.3417682028679</v>
      </c>
      <c r="J30" s="19" t="n">
        <f aca="false">AVERAGEIF($B$106:$B$165,A30,$L$106:$L$165)</f>
        <v>32.5856656889285</v>
      </c>
    </row>
    <row r="31" customFormat="false" ht="15" hidden="false" customHeight="false" outlineLevel="0" collapsed="false">
      <c r="A31" s="12" t="s">
        <v>301</v>
      </c>
      <c r="B31" s="32" t="n">
        <f aca="false">COUNTIF($B$106:$B$165,A31)</f>
        <v>6</v>
      </c>
      <c r="C31" s="19" t="n">
        <f aca="false">SUMIF($B$106:$B$165,A31,$F$106:$F$165)</f>
        <v>974.7156103725</v>
      </c>
      <c r="D31" s="19" t="n">
        <f aca="false">SUMIF($B$106:$B$165,A31,$O$106:$O$165)</f>
        <v>40.6643718837843</v>
      </c>
      <c r="E31" s="20" t="n">
        <f aca="false">D31/C31</f>
        <v>0.0417192168167327</v>
      </c>
      <c r="F31" s="32" t="n">
        <f aca="false">AVERAGEIF($B$106:$B$165,A31,$E$106:$E$165)</f>
        <v>998.885869565217</v>
      </c>
      <c r="G31" s="32" t="n">
        <f aca="false">COUNTIFS($B$106:$B$165,A31,$O$106:$O$165,"&lt;0")</f>
        <v>1</v>
      </c>
      <c r="H31" s="20" t="n">
        <f aca="false">SUMPRODUCT(($B$106:$B$165=A31)*$H$106:$H$165*$AF$106:$AF$165)/SUMIF($B$106:$B$165,A31,$AF$106:$AF$165)</f>
        <v>0.0581110648073151</v>
      </c>
      <c r="I31" s="19" t="n">
        <f aca="false">SUMPRODUCT(($B$106:$B$165=A31)*$J$106:$J$165*$E$106:$E$165)/SUMIF($B$106:$B$165,A31,$E$106:$E$165)</f>
        <v>31.4794626622052</v>
      </c>
      <c r="J31" s="19" t="n">
        <f aca="false">AVERAGEIF($B$106:$B$165,A31,$L$106:$L$165)</f>
        <v>36.7180086905191</v>
      </c>
    </row>
    <row r="34" customFormat="false" ht="15" hidden="false" customHeight="false" outlineLevel="0" collapsed="false">
      <c r="A34" s="4" t="s">
        <v>1249</v>
      </c>
    </row>
    <row r="35" customFormat="false" ht="24" hidden="false" customHeight="true" outlineLevel="0" collapsed="false">
      <c r="A35" s="5" t="s">
        <v>1250</v>
      </c>
      <c r="B35" s="5" t="s">
        <v>1251</v>
      </c>
      <c r="C35" s="5" t="s">
        <v>1252</v>
      </c>
      <c r="D35" s="5" t="s">
        <v>1253</v>
      </c>
      <c r="E35" s="5" t="s">
        <v>1254</v>
      </c>
      <c r="F35" s="5" t="s">
        <v>1255</v>
      </c>
    </row>
    <row r="36" customFormat="false" ht="15" hidden="false" customHeight="false" outlineLevel="0" collapsed="false">
      <c r="A36" s="12" t="s">
        <v>1256</v>
      </c>
      <c r="B36" s="19" t="n">
        <f aca="false">SUMPRODUCT(($BM$106:$BM$165="Q1 top")*$BO$106:$BO$165*$E$106:$E$165)/SUMIF($BM$106:$BM$165,"Q1 top",$E$106:$E$165)</f>
        <v>609.591137679612</v>
      </c>
      <c r="C36" s="19" t="n">
        <f aca="false">SUMPRODUCT(($BM$106:$BM$165="Q2-Q3 middle")*$BO$106:$BO$165*$E$106:$E$165)/SUMIF($BM$106:$BM$165,"Q2-Q3 middle",$E$106:$E$165)</f>
        <v>613.741391014027</v>
      </c>
      <c r="D36" s="19" t="n">
        <f aca="false">SUMPRODUCT(($BM$106:$BM$165="Q4 bottom")*$BO$106:$BO$165*$E$106:$E$165)/SUMIF($BM$106:$BM$165,"Q4 bottom",$E$106:$E$165)</f>
        <v>597.903272631404</v>
      </c>
      <c r="E36" s="21" t="n">
        <f aca="false">B36-D36</f>
        <v>11.6878650482082</v>
      </c>
      <c r="F36" s="42" t="s">
        <v>1257</v>
      </c>
    </row>
    <row r="37" customFormat="false" ht="15" hidden="false" customHeight="false" outlineLevel="0" collapsed="false">
      <c r="A37" s="12" t="s">
        <v>1258</v>
      </c>
      <c r="B37" s="19" t="n">
        <f aca="false">SUMPRODUCT(($BM$106:$BM$165="Q1 top")*$BP$106:$BP$165*$E$106:$E$165)/SUMIF($BM$106:$BM$165,"Q1 top",$E$106:$E$165)</f>
        <v>134.144212777241</v>
      </c>
      <c r="C37" s="19" t="n">
        <f aca="false">SUMPRODUCT(($BM$106:$BM$165="Q2-Q3 middle")*$BP$106:$BP$165*$E$106:$E$165)/SUMIF($BM$106:$BM$165,"Q2-Q3 middle",$E$106:$E$165)</f>
        <v>133.220121188341</v>
      </c>
      <c r="D37" s="19" t="n">
        <f aca="false">SUMPRODUCT(($BM$106:$BM$165="Q4 bottom")*$BP$106:$BP$165*$E$106:$E$165)/SUMIF($BM$106:$BM$165,"Q4 bottom",$E$106:$E$165)</f>
        <v>125.555172278103</v>
      </c>
      <c r="E37" s="21" t="n">
        <f aca="false">B37-D37</f>
        <v>8.58904049913807</v>
      </c>
      <c r="F37" s="42"/>
    </row>
    <row r="38" customFormat="false" ht="15" hidden="false" customHeight="false" outlineLevel="0" collapsed="false">
      <c r="A38" s="12" t="s">
        <v>306</v>
      </c>
      <c r="B38" s="19" t="n">
        <f aca="false">SUMPRODUCT(($BM$106:$BM$165="Q1 top")*$BR$106:$BR$165*$E$106:$E$165)/SUMIF($BM$106:$BM$165,"Q1 top",$E$106:$E$165)</f>
        <v>13.4879554101599</v>
      </c>
      <c r="C38" s="19" t="n">
        <f aca="false">SUMPRODUCT(($BM$106:$BM$165="Q2-Q3 middle")*$BR$106:$BR$165*$E$106:$E$165)/SUMIF($BM$106:$BM$165,"Q2-Q3 middle",$E$106:$E$165)</f>
        <v>15.6055416503101</v>
      </c>
      <c r="D38" s="19" t="n">
        <f aca="false">SUMPRODUCT(($BM$106:$BM$165="Q4 bottom")*$BR$106:$BR$165*$E$106:$E$165)/SUMIF($BM$106:$BM$165,"Q4 bottom",$E$106:$E$165)</f>
        <v>17.7262513228622</v>
      </c>
      <c r="E38" s="21" t="n">
        <f aca="false">D38-B38</f>
        <v>4.23829591270231</v>
      </c>
      <c r="F38" s="42"/>
    </row>
    <row r="39" customFormat="false" ht="15" hidden="false" customHeight="false" outlineLevel="0" collapsed="false">
      <c r="A39" s="12" t="s">
        <v>307</v>
      </c>
      <c r="B39" s="19" t="n">
        <f aca="false">SUMPRODUCT(($BM$106:$BM$165="Q1 top")*$BS$106:$BS$165*$E$106:$E$165)/SUMIF($BM$106:$BM$165,"Q1 top",$E$106:$E$165)</f>
        <v>35.5448046891167</v>
      </c>
      <c r="C39" s="19" t="n">
        <f aca="false">SUMPRODUCT(($BM$106:$BM$165="Q2-Q3 middle")*$BS$106:$BS$165*$E$106:$E$165)/SUMIF($BM$106:$BM$165,"Q2-Q3 middle",$E$106:$E$165)</f>
        <v>39.3841674402351</v>
      </c>
      <c r="D39" s="19" t="n">
        <f aca="false">SUMPRODUCT(($BM$106:$BM$165="Q4 bottom")*$BS$106:$BS$165*$E$106:$E$165)/SUMIF($BM$106:$BM$165,"Q4 bottom",$E$106:$E$165)</f>
        <v>44.0202303354791</v>
      </c>
      <c r="E39" s="21" t="n">
        <f aca="false">D39-B39</f>
        <v>8.47542564636238</v>
      </c>
      <c r="F39" s="42"/>
    </row>
    <row r="40" customFormat="false" ht="15" hidden="false" customHeight="false" outlineLevel="0" collapsed="false">
      <c r="A40" s="12" t="s">
        <v>1259</v>
      </c>
      <c r="B40" s="19" t="n">
        <f aca="false">SUMPRODUCT(($BM$106:$BM$165="Q1 top")*$BT$106:$BT$165*$E$106:$E$165)/SUMIF($BM$106:$BM$165,"Q1 top",$E$106:$E$165)</f>
        <v>16.1066059543354</v>
      </c>
      <c r="C40" s="19" t="n">
        <f aca="false">SUMPRODUCT(($BM$106:$BM$165="Q2-Q3 middle")*$BT$106:$BT$165*$E$106:$E$165)/SUMIF($BM$106:$BM$165,"Q2-Q3 middle",$E$106:$E$165)</f>
        <v>16.4659606447838</v>
      </c>
      <c r="D40" s="19" t="n">
        <f aca="false">SUMPRODUCT(($BM$106:$BM$165="Q4 bottom")*$BT$106:$BT$165*$E$106:$E$165)/SUMIF($BM$106:$BM$165,"Q4 bottom",$E$106:$E$165)</f>
        <v>16.2779055515402</v>
      </c>
      <c r="E40" s="21" t="n">
        <f aca="false">D40-B40</f>
        <v>0.171299597204744</v>
      </c>
      <c r="F40" s="42"/>
    </row>
    <row r="41" customFormat="false" ht="15" hidden="false" customHeight="false" outlineLevel="0" collapsed="false">
      <c r="A41" s="12" t="s">
        <v>176</v>
      </c>
      <c r="B41" s="19" t="n">
        <f aca="false">SUMPRODUCT(($BM$106:$BM$165="Q1 top")*$BU$106:$BU$165*$E$106:$E$165)/SUMIF($BM$106:$BM$165,"Q1 top",$E$106:$E$165)</f>
        <v>16.4615164302849</v>
      </c>
      <c r="C41" s="19" t="n">
        <f aca="false">SUMPRODUCT(($BM$106:$BM$165="Q2-Q3 middle")*$BU$106:$BU$165*$E$106:$E$165)/SUMIF($BM$106:$BM$165,"Q2-Q3 middle",$E$106:$E$165)</f>
        <v>18.1398247478698</v>
      </c>
      <c r="D41" s="19" t="n">
        <f aca="false">SUMPRODUCT(($BM$106:$BM$165="Q4 bottom")*$BU$106:$BU$165*$E$106:$E$165)/SUMIF($BM$106:$BM$165,"Q4 bottom",$E$106:$E$165)</f>
        <v>26.5751900789967</v>
      </c>
      <c r="E41" s="21" t="n">
        <f aca="false">D41-B41</f>
        <v>10.1136736487118</v>
      </c>
      <c r="F41" s="42"/>
    </row>
    <row r="42" customFormat="false" ht="15" hidden="false" customHeight="false" outlineLevel="0" collapsed="false">
      <c r="A42" s="12" t="s">
        <v>1166</v>
      </c>
      <c r="B42" s="19" t="n">
        <f aca="false">SUMPRODUCT(($BM$106:$BM$165="Q1 top")*$BV$106:$BV$165*$E$106:$E$165)/SUMIF($BM$106:$BM$165,"Q1 top",$E$106:$E$165)</f>
        <v>12.0654860546622</v>
      </c>
      <c r="C42" s="19" t="n">
        <f aca="false">SUMPRODUCT(($BM$106:$BM$165="Q2-Q3 middle")*$BV$106:$BV$165*$E$106:$E$165)/SUMIF($BM$106:$BM$165,"Q2-Q3 middle",$E$106:$E$165)</f>
        <v>19.7082676433284</v>
      </c>
      <c r="D42" s="19" t="n">
        <f aca="false">SUMPRODUCT(($BM$106:$BM$165="Q4 bottom")*$BV$106:$BV$165*$E$106:$E$165)/SUMIF($BM$106:$BM$165,"Q4 bottom",$E$106:$E$165)</f>
        <v>53.9330726503574</v>
      </c>
      <c r="E42" s="21" t="n">
        <f aca="false">D42-B42</f>
        <v>41.8675865956952</v>
      </c>
      <c r="F42" s="42"/>
    </row>
    <row r="43" customFormat="false" ht="15" hidden="false" customHeight="false" outlineLevel="0" collapsed="false">
      <c r="A43" s="12" t="s">
        <v>1260</v>
      </c>
      <c r="B43" s="19" t="n">
        <f aca="false">SUMPRODUCT(($BM$106:$BM$165="Q1 top")*$BW$106:$BW$165*$E$106:$E$165)/SUMIF($BM$106:$BM$165,"Q1 top",$E$106:$E$165)</f>
        <v>9.33634804931928</v>
      </c>
      <c r="C43" s="19" t="n">
        <f aca="false">SUMPRODUCT(($BM$106:$BM$165="Q2-Q3 middle")*$BW$106:$BW$165*$E$106:$E$165)/SUMIF($BM$106:$BM$165,"Q2-Q3 middle",$E$106:$E$165)</f>
        <v>11.4082784238451</v>
      </c>
      <c r="D43" s="19" t="n">
        <f aca="false">SUMPRODUCT(($BM$106:$BM$165="Q4 bottom")*$BW$106:$BW$165*$E$106:$E$165)/SUMIF($BM$106:$BM$165,"Q4 bottom",$E$106:$E$165)</f>
        <v>23.3989275046372</v>
      </c>
      <c r="E43" s="21" t="n">
        <f aca="false">D43-B43</f>
        <v>14.0625794553179</v>
      </c>
      <c r="F43" s="42"/>
    </row>
    <row r="44" customFormat="false" ht="15" hidden="false" customHeight="false" outlineLevel="0" collapsed="false">
      <c r="A44" s="6" t="s">
        <v>1261</v>
      </c>
      <c r="B44" s="19" t="n">
        <f aca="false">SUMPRODUCT(($BM$106:$BM$165="Q1 top")*$BX$106:$BX$165*$E$106:$E$165)/SUMIF($BM$106:$BM$165,"Q1 top",$E$106:$E$165)</f>
        <v>31.1414961893622</v>
      </c>
      <c r="C44" s="19" t="n">
        <f aca="false">SUMPRODUCT(($BM$106:$BM$165="Q2-Q3 middle")*$BX$106:$BX$165*$E$106:$E$165)/SUMIF($BM$106:$BM$165,"Q2-Q3 middle",$E$106:$E$165)</f>
        <v>12.5080806379688</v>
      </c>
      <c r="D44" s="19" t="n">
        <f aca="false">SUMPRODUCT(($BM$106:$BM$165="Q4 bottom")*$BX$106:$BX$165*$E$106:$E$165)/SUMIF($BM$106:$BM$165,"Q4 bottom",$E$106:$E$165)</f>
        <v>-56.3764051657702</v>
      </c>
      <c r="E44" s="21" t="n">
        <f aca="false">B44-D44</f>
        <v>87.5179013551324</v>
      </c>
      <c r="F44" s="42"/>
    </row>
    <row r="45" customFormat="false" ht="15" hidden="false" customHeight="false" outlineLevel="0" collapsed="false">
      <c r="A45" s="12" t="s">
        <v>1228</v>
      </c>
      <c r="B45" s="32" t="n">
        <f aca="false">AVERAGEIF($BM$106:$BM$165,"Q1 top",$E$106:$E$165)</f>
        <v>1313.12391304348</v>
      </c>
      <c r="C45" s="32" t="n">
        <f aca="false">AVERAGEIF($BM$106:$BM$165,"Q2-Q3 middle",$E$106:$E$165)</f>
        <v>1001.5384057971</v>
      </c>
      <c r="D45" s="32" t="n">
        <f aca="false">AVERAGEIF($BM$106:$BM$165,"Q4 bottom",$E$106:$E$165)</f>
        <v>430.122463768116</v>
      </c>
    </row>
    <row r="46" customFormat="false" ht="15" hidden="false" customHeight="false" outlineLevel="0" collapsed="false">
      <c r="A46" s="12" t="s">
        <v>1262</v>
      </c>
      <c r="B46" s="19" t="n">
        <f aca="false">AVERAGEIF($BM$106:$BM$165,"Q1 top",$D$106:$D$165)</f>
        <v>33.2</v>
      </c>
      <c r="C46" s="19" t="n">
        <f aca="false">AVERAGEIF($BM$106:$BM$165,"Q2-Q3 middle",$D$106:$D$165)</f>
        <v>23.9666666666667</v>
      </c>
      <c r="D46" s="19" t="n">
        <f aca="false">AVERAGEIF($BM$106:$BM$165,"Q4 bottom",$D$106:$D$165)</f>
        <v>9.13333333333333</v>
      </c>
    </row>
    <row r="47" customFormat="false" ht="15" hidden="false" customHeight="false" outlineLevel="0" collapsed="false">
      <c r="A47" s="12" t="s">
        <v>1263</v>
      </c>
      <c r="B47" s="19" t="n">
        <f aca="false">AVERAGEIF($BM$106:$BM$165,"Q1 top",$T$106:$T$165)</f>
        <v>2.36</v>
      </c>
      <c r="C47" s="19" t="n">
        <f aca="false">AVERAGEIF($BM$106:$BM$165,"Q2-Q3 middle",$T$106:$T$165)</f>
        <v>2.30333333333333</v>
      </c>
      <c r="D47" s="19" t="n">
        <f aca="false">AVERAGEIF($BM$106:$BM$165,"Q4 bottom",$T$106:$T$165)</f>
        <v>2.15333333333333</v>
      </c>
    </row>
    <row r="48" customFormat="false" ht="15" hidden="false" customHeight="false" outlineLevel="0" collapsed="false">
      <c r="A48" s="12" t="s">
        <v>1264</v>
      </c>
      <c r="B48" s="20" t="n">
        <f aca="false">AVERAGEIF($BM$106:$BM$165,"Q1 top",$H$106:$H$165)</f>
        <v>0.0557100118756944</v>
      </c>
      <c r="C48" s="20" t="n">
        <f aca="false">AVERAGEIF($BM$106:$BM$165,"Q2-Q3 middle",$H$106:$H$165)</f>
        <v>0.0595904033229297</v>
      </c>
      <c r="D48" s="20" t="n">
        <f aca="false">AVERAGEIF($BM$106:$BM$165,"Q4 bottom",$H$106:$H$165)</f>
        <v>0.069680496478014</v>
      </c>
    </row>
    <row r="49" customFormat="false" ht="15" hidden="false" customHeight="false" outlineLevel="0" collapsed="false">
      <c r="A49" s="12" t="s">
        <v>1248</v>
      </c>
      <c r="B49" s="19" t="n">
        <f aca="false">AVERAGEIF($BM$106:$BM$165,"Q1 top",$L$106:$L$165)</f>
        <v>41.4571304605338</v>
      </c>
      <c r="C49" s="19" t="n">
        <f aca="false">AVERAGEIF($BM$106:$BM$165,"Q2-Q3 middle",$L$106:$L$165)</f>
        <v>38.4049275168827</v>
      </c>
      <c r="D49" s="19" t="n">
        <f aca="false">AVERAGEIF($BM$106:$BM$165,"Q4 bottom",$L$106:$L$165)</f>
        <v>25.5806650745125</v>
      </c>
    </row>
    <row r="52" customFormat="false" ht="15" hidden="false" customHeight="false" outlineLevel="0" collapsed="false">
      <c r="A52" s="4" t="s">
        <v>1265</v>
      </c>
    </row>
    <row r="53" customFormat="false" ht="30" hidden="false" customHeight="true" outlineLevel="0" collapsed="false">
      <c r="A53" s="5" t="s">
        <v>303</v>
      </c>
      <c r="B53" s="5" t="s">
        <v>1266</v>
      </c>
      <c r="C53" s="5" t="s">
        <v>420</v>
      </c>
      <c r="D53" s="5" t="s">
        <v>310</v>
      </c>
      <c r="E53" s="5" t="s">
        <v>1267</v>
      </c>
      <c r="F53" s="5" t="s">
        <v>1268</v>
      </c>
      <c r="G53" s="5" t="s">
        <v>1269</v>
      </c>
    </row>
    <row r="54" customFormat="false" ht="15" hidden="false" customHeight="false" outlineLevel="0" collapsed="false">
      <c r="A54" s="43" t="str">
        <f aca="false">'Assumptions &amp; Data'!A98</f>
        <v>&lt; ₹250</v>
      </c>
      <c r="B54" s="44" t="n">
        <f aca="false">'Assumptions &amp; Data'!B98/'Assumptions &amp; Data'!B103</f>
        <v>0.15</v>
      </c>
      <c r="C54" s="44" t="n">
        <f aca="false">'Assumptions &amp; Data'!N98</f>
        <v>0.116387137148383</v>
      </c>
      <c r="D54" s="45" t="n">
        <f aca="false">'Assumptions &amp; Data'!M98</f>
        <v>1.62699730617365</v>
      </c>
      <c r="E54" s="20" t="n">
        <f aca="false">'Assumptions &amp; Data'!L98/('Assumptions &amp; Data'!C98-'Assumptions &amp; Data'!D98)</f>
        <v>0.0083047342070664</v>
      </c>
      <c r="F54" s="45" t="n">
        <f aca="false">'Assumptions &amp; Data'!L98</f>
        <v>44.0899999999997</v>
      </c>
      <c r="G54" s="20" t="n">
        <f aca="false">'Assumptions &amp; Data'!L98/'Assumptions &amp; Data'!L103</f>
        <v>0.00392553503110421</v>
      </c>
    </row>
    <row r="55" customFormat="false" ht="15" hidden="false" customHeight="false" outlineLevel="0" collapsed="false">
      <c r="A55" s="43" t="str">
        <f aca="false">'Assumptions &amp; Data'!A99</f>
        <v>₹250–400</v>
      </c>
      <c r="B55" s="44" t="n">
        <f aca="false">'Assumptions &amp; Data'!B99/'Assumptions &amp; Data'!B103</f>
        <v>0.25</v>
      </c>
      <c r="C55" s="44" t="n">
        <f aca="false">'Assumptions &amp; Data'!N99</f>
        <v>0.0857591576584647</v>
      </c>
      <c r="D55" s="45" t="n">
        <f aca="false">'Assumptions &amp; Data'!M99</f>
        <v>21.3444038525407</v>
      </c>
      <c r="E55" s="20" t="n">
        <f aca="false">'Assumptions &amp; Data'!L99/('Assumptions &amp; Data'!C99-'Assumptions &amp; Data'!D99)</f>
        <v>0.0607494716039922</v>
      </c>
      <c r="F55" s="45" t="n">
        <f aca="false">'Assumptions &amp; Data'!L99</f>
        <v>964.02</v>
      </c>
      <c r="G55" s="20" t="n">
        <f aca="false">'Assumptions &amp; Data'!L99/'Assumptions &amp; Data'!L103</f>
        <v>0.0858311245335701</v>
      </c>
    </row>
    <row r="56" customFormat="false" ht="15" hidden="false" customHeight="false" outlineLevel="0" collapsed="false">
      <c r="A56" s="43" t="str">
        <f aca="false">'Assumptions &amp; Data'!A100</f>
        <v>₹400–650</v>
      </c>
      <c r="B56" s="44" t="n">
        <f aca="false">'Assumptions &amp; Data'!B100/'Assumptions &amp; Data'!B103</f>
        <v>0.3</v>
      </c>
      <c r="C56" s="44" t="n">
        <f aca="false">'Assumptions &amp; Data'!N100</f>
        <v>0.061256656561754</v>
      </c>
      <c r="D56" s="45" t="n">
        <f aca="false">'Assumptions &amp; Data'!M100</f>
        <v>53.207313923023</v>
      </c>
      <c r="E56" s="20" t="n">
        <f aca="false">'Assumptions &amp; Data'!L100/('Assumptions &amp; Data'!C100-'Assumptions &amp; Data'!D100)</f>
        <v>0.0935261458268806</v>
      </c>
      <c r="F56" s="45" t="n">
        <f aca="false">'Assumptions &amp; Data'!L100</f>
        <v>2883.73</v>
      </c>
      <c r="G56" s="20" t="n">
        <f aca="false">'Assumptions &amp; Data'!L100/'Assumptions &amp; Data'!L103</f>
        <v>0.256751715473944</v>
      </c>
    </row>
    <row r="57" customFormat="false" ht="15" hidden="false" customHeight="false" outlineLevel="0" collapsed="false">
      <c r="A57" s="43" t="str">
        <f aca="false">'Assumptions &amp; Data'!A101</f>
        <v>₹650–1,000</v>
      </c>
      <c r="B57" s="44" t="n">
        <f aca="false">'Assumptions &amp; Data'!B101/'Assumptions &amp; Data'!B103</f>
        <v>0.210002214103841</v>
      </c>
      <c r="C57" s="44" t="n">
        <f aca="false">'Assumptions &amp; Data'!N101</f>
        <v>0.049005255558571</v>
      </c>
      <c r="D57" s="45" t="n">
        <f aca="false">'Assumptions &amp; Data'!M101</f>
        <v>105.657502833496</v>
      </c>
      <c r="E57" s="20" t="n">
        <f aca="false">'Assumptions &amp; Data'!L101/('Assumptions &amp; Data'!C101-'Assumptions &amp; Data'!D101)</f>
        <v>0.117446274395825</v>
      </c>
      <c r="F57" s="45" t="n">
        <f aca="false">'Assumptions &amp; Data'!L101</f>
        <v>4008.54</v>
      </c>
      <c r="G57" s="20" t="n">
        <f aca="false">'Assumptions &amp; Data'!L101/'Assumptions &amp; Data'!L103</f>
        <v>0.356898711580462</v>
      </c>
    </row>
    <row r="58" customFormat="false" ht="15" hidden="false" customHeight="false" outlineLevel="0" collapsed="false">
      <c r="A58" s="43" t="str">
        <f aca="false">'Assumptions &amp; Data'!A102</f>
        <v>&gt; ₹1,000</v>
      </c>
      <c r="B58" s="44" t="n">
        <f aca="false">'Assumptions &amp; Data'!B102/'Assumptions &amp; Data'!B103</f>
        <v>0.0899977858961585</v>
      </c>
      <c r="C58" s="44" t="n">
        <f aca="false">'Assumptions &amp; Data'!N102</f>
        <v>0.042879951432284</v>
      </c>
      <c r="D58" s="45" t="n">
        <f aca="false">'Assumptions &amp; Data'!M102</f>
        <v>204.884064210591</v>
      </c>
      <c r="E58" s="20" t="n">
        <f aca="false">'Assumptions &amp; Data'!L102/('Assumptions &amp; Data'!C102-'Assumptions &amp; Data'!D102)</f>
        <v>0.13792231128482</v>
      </c>
      <c r="F58" s="45" t="n">
        <f aca="false">'Assumptions &amp; Data'!L102</f>
        <v>3331.21</v>
      </c>
      <c r="G58" s="20" t="n">
        <f aca="false">'Assumptions &amp; Data'!L102/'Assumptions &amp; Data'!L103</f>
        <v>0.296592913380919</v>
      </c>
    </row>
    <row r="60" customFormat="false" ht="30" hidden="false" customHeight="true" outlineLevel="0" collapsed="false">
      <c r="A60" s="5" t="s">
        <v>1270</v>
      </c>
      <c r="B60" s="5" t="s">
        <v>1266</v>
      </c>
      <c r="C60" s="5" t="s">
        <v>420</v>
      </c>
      <c r="D60" s="5" t="s">
        <v>310</v>
      </c>
      <c r="E60" s="5" t="s">
        <v>1267</v>
      </c>
      <c r="F60" s="5" t="s">
        <v>1268</v>
      </c>
      <c r="G60" s="5" t="s">
        <v>1269</v>
      </c>
    </row>
    <row r="61" customFormat="false" ht="15" hidden="false" customHeight="false" outlineLevel="0" collapsed="false">
      <c r="A61" s="43" t="str">
        <f aca="false">'Assumptions &amp; Data'!A107</f>
        <v>New (first 30 days)</v>
      </c>
      <c r="B61" s="44" t="n">
        <f aca="false">'Assumptions &amp; Data'!B107/'Assumptions &amp; Data'!B110</f>
        <v>0.169998892948079</v>
      </c>
      <c r="C61" s="44" t="n">
        <f aca="false">'Assumptions &amp; Data'!N107</f>
        <v>0.132953140793422</v>
      </c>
      <c r="D61" s="45" t="n">
        <f aca="false">'Assumptions &amp; Data'!M107</f>
        <v>49.8306850742381</v>
      </c>
      <c r="E61" s="20" t="n">
        <f aca="false">'Assumptions &amp; Data'!L107/('Assumptions &amp; Data'!C107-'Assumptions &amp; Data'!D107)</f>
        <v>0.0933593695192395</v>
      </c>
      <c r="F61" s="45" t="n">
        <f aca="false">'Assumptions &amp; Data'!L107</f>
        <v>1530.4</v>
      </c>
      <c r="G61" s="20" t="n">
        <f aca="false">'Assumptions &amp; Data'!L107/'Assumptions &amp; Data'!L110</f>
        <v>0.136258535078293</v>
      </c>
    </row>
    <row r="62" customFormat="false" ht="15" hidden="false" customHeight="false" outlineLevel="0" collapsed="false">
      <c r="A62" s="43" t="str">
        <f aca="false">'Assumptions &amp; Data'!A108</f>
        <v>Repeat (2–4 orders/month)</v>
      </c>
      <c r="B62" s="44" t="n">
        <f aca="false">'Assumptions &amp; Data'!B108/'Assumptions &amp; Data'!B110</f>
        <v>0.469998892948079</v>
      </c>
      <c r="C62" s="44" t="n">
        <f aca="false">'Assumptions &amp; Data'!N108</f>
        <v>0.0549154179955494</v>
      </c>
      <c r="D62" s="45" t="n">
        <f aca="false">'Assumptions &amp; Data'!M108</f>
        <v>62.20056530444</v>
      </c>
      <c r="E62" s="20" t="n">
        <f aca="false">'Assumptions &amp; Data'!L108/('Assumptions &amp; Data'!C108-'Assumptions &amp; Data'!D108)</f>
        <v>0.101567029778085</v>
      </c>
      <c r="F62" s="45" t="n">
        <f aca="false">'Assumptions &amp; Data'!L108</f>
        <v>5281.45</v>
      </c>
      <c r="G62" s="20" t="n">
        <f aca="false">'Assumptions &amp; Data'!L108/'Assumptions &amp; Data'!L110</f>
        <v>0.470231730324914</v>
      </c>
    </row>
    <row r="63" customFormat="false" ht="15" hidden="false" customHeight="false" outlineLevel="0" collapsed="false">
      <c r="A63" s="43" t="str">
        <f aca="false">'Assumptions &amp; Data'!A109</f>
        <v>Loyal (5+ orders/month)</v>
      </c>
      <c r="B63" s="44" t="n">
        <f aca="false">'Assumptions &amp; Data'!B109/'Assumptions &amp; Data'!B110</f>
        <v>0.360002214103842</v>
      </c>
      <c r="C63" s="44" t="n">
        <f aca="false">'Assumptions &amp; Data'!N109</f>
        <v>0.0346833326537378</v>
      </c>
      <c r="D63" s="45" t="n">
        <f aca="false">'Assumptions &amp; Data'!M109</f>
        <v>67.9562717180725</v>
      </c>
      <c r="E63" s="20" t="n">
        <f aca="false">'Assumptions &amp; Data'!L109/('Assumptions &amp; Data'!C109-'Assumptions &amp; Data'!D109)</f>
        <v>0.105476434295413</v>
      </c>
      <c r="F63" s="45" t="n">
        <f aca="false">'Assumptions &amp; Data'!L109</f>
        <v>4419.74</v>
      </c>
      <c r="G63" s="20" t="n">
        <f aca="false">'Assumptions &amp; Data'!L109/'Assumptions &amp; Data'!L110</f>
        <v>0.393509734596793</v>
      </c>
    </row>
    <row r="65" customFormat="false" ht="30" hidden="false" customHeight="true" outlineLevel="0" collapsed="false">
      <c r="A65" s="5" t="s">
        <v>1271</v>
      </c>
      <c r="B65" s="5" t="s">
        <v>1272</v>
      </c>
      <c r="C65" s="5" t="s">
        <v>330</v>
      </c>
      <c r="D65" s="5" t="s">
        <v>1273</v>
      </c>
      <c r="E65" s="5" t="s">
        <v>326</v>
      </c>
      <c r="F65" s="5" t="s">
        <v>1274</v>
      </c>
    </row>
    <row r="66" customFormat="false" ht="15" hidden="false" customHeight="false" outlineLevel="0" collapsed="false">
      <c r="A66" s="12" t="s">
        <v>1275</v>
      </c>
      <c r="B66" s="19" t="n">
        <f aca="false">SUMIF('Assumptions &amp; Data'!$B$114:$B$137,"Low",'Assumptions &amp; Data'!$C$114:$C$137)</f>
        <v>15438.77</v>
      </c>
      <c r="C66" s="20" t="n">
        <f aca="false">SUMIF('Assumptions &amp; Data'!$B$114:$B$137,"Low",'Assumptions &amp; Data'!$E$114:$E$137)/B66</f>
        <v>0.0340765488442408</v>
      </c>
      <c r="D66" s="20" t="n">
        <f aca="false">SUMIFS('Assumptions &amp; Data'!$E$114:$E$137,'Assumptions &amp; Data'!$B$114:$B$137,"Low",'Assumptions &amp; Data'!$A$114:$A$137,"Fruits &amp; vegetables")/SUMIFS('Assumptions &amp; Data'!$C$114:$C$137,'Assumptions &amp; Data'!$B$114:$B$137,"Low",'Assumptions &amp; Data'!$A$114:$A$137,"Fruits &amp; vegetables")</f>
        <v>0.107292948612926</v>
      </c>
      <c r="E66" s="20" t="n">
        <f aca="false">SUMIFS('Assumptions &amp; Data'!$F$114:$F$137,'Assumptions &amp; Data'!$B$114:$B$137,"Low",'Assumptions &amp; Data'!$A$114:$A$137,"Fruits &amp; vegetables")</f>
        <v>0.0609</v>
      </c>
      <c r="F66" s="19" t="n">
        <f aca="false">SUMIFS('Assumptions &amp; Data'!$H$114:$H$137,'Assumptions &amp; Data'!$B$114:$B$137,"Low",'Assumptions &amp; Data'!$A$114:$A$137,"Fruits &amp; vegetables")</f>
        <v>2.2</v>
      </c>
    </row>
    <row r="67" customFormat="false" ht="15" hidden="false" customHeight="false" outlineLevel="0" collapsed="false">
      <c r="A67" s="12" t="s">
        <v>1276</v>
      </c>
      <c r="B67" s="19" t="n">
        <f aca="false">SUMIF('Assumptions &amp; Data'!$B$114:$B$137,"Mid",'Assumptions &amp; Data'!$C$114:$C$137)</f>
        <v>26838.74</v>
      </c>
      <c r="C67" s="20" t="n">
        <f aca="false">SUMIF('Assumptions &amp; Data'!$B$114:$B$137,"Mid",'Assumptions &amp; Data'!$E$114:$E$137)/B67</f>
        <v>0.0233572813030716</v>
      </c>
      <c r="D67" s="20" t="n">
        <f aca="false">SUMIFS('Assumptions &amp; Data'!$E$114:$E$137,'Assumptions &amp; Data'!$B$114:$B$137,"Mid",'Assumptions &amp; Data'!$A$114:$A$137,"Fruits &amp; vegetables")/SUMIFS('Assumptions &amp; Data'!$C$114:$C$137,'Assumptions &amp; Data'!$B$114:$B$137,"Mid",'Assumptions &amp; Data'!$A$114:$A$137,"Fruits &amp; vegetables")</f>
        <v>0.0735437547533309</v>
      </c>
      <c r="E67" s="20" t="n">
        <f aca="false">SUMIFS('Assumptions &amp; Data'!$F$114:$F$137,'Assumptions &amp; Data'!$B$114:$B$137,"Mid",'Assumptions &amp; Data'!$A$114:$A$137,"Fruits &amp; vegetables")</f>
        <v>0.0488</v>
      </c>
      <c r="F67" s="19" t="n">
        <f aca="false">SUMIFS('Assumptions &amp; Data'!$H$114:$H$137,'Assumptions &amp; Data'!$B$114:$B$137,"Mid",'Assumptions &amp; Data'!$A$114:$A$137,"Fruits &amp; vegetables")</f>
        <v>1.8</v>
      </c>
    </row>
    <row r="68" customFormat="false" ht="15" hidden="false" customHeight="false" outlineLevel="0" collapsed="false">
      <c r="A68" s="12" t="s">
        <v>1277</v>
      </c>
      <c r="B68" s="19" t="n">
        <f aca="false">SUMIF('Assumptions &amp; Data'!$B$114:$B$137,"High",'Assumptions &amp; Data'!$C$114:$C$137)</f>
        <v>68017.34</v>
      </c>
      <c r="C68" s="20" t="n">
        <f aca="false">SUMIF('Assumptions &amp; Data'!$B$114:$B$137,"High",'Assumptions &amp; Data'!$E$114:$E$137)/B68</f>
        <v>0.0235616388409191</v>
      </c>
      <c r="D68" s="20" t="n">
        <f aca="false">SUMIFS('Assumptions &amp; Data'!$E$114:$E$137,'Assumptions &amp; Data'!$B$114:$B$137,"High",'Assumptions &amp; Data'!$A$114:$A$137,"Fruits &amp; vegetables")/SUMIFS('Assumptions &amp; Data'!$C$114:$C$137,'Assumptions &amp; Data'!$B$114:$B$137,"High",'Assumptions &amp; Data'!$A$114:$A$137,"Fruits &amp; vegetables")</f>
        <v>0.0741860857307175</v>
      </c>
      <c r="E68" s="20" t="n">
        <f aca="false">SUMIFS('Assumptions &amp; Data'!$F$114:$F$137,'Assumptions &amp; Data'!$B$114:$B$137,"High",'Assumptions &amp; Data'!$A$114:$A$137,"Fruits &amp; vegetables")</f>
        <v>0.055</v>
      </c>
      <c r="F68" s="19" t="n">
        <f aca="false">SUMIFS('Assumptions &amp; Data'!$H$114:$H$137,'Assumptions &amp; Data'!$B$114:$B$137,"High",'Assumptions &amp; Data'!$A$114:$A$137,"Fruits &amp; vegetables")</f>
        <v>1.6</v>
      </c>
    </row>
    <row r="71" customFormat="false" ht="15" hidden="false" customHeight="false" outlineLevel="0" collapsed="false">
      <c r="A71" s="4" t="s">
        <v>1278</v>
      </c>
    </row>
    <row r="72" customFormat="false" ht="21.75" hidden="false" customHeight="true" outlineLevel="0" collapsed="false">
      <c r="A72" s="5" t="s">
        <v>1279</v>
      </c>
      <c r="B72" s="5" t="s">
        <v>1280</v>
      </c>
      <c r="C72" s="5" t="s">
        <v>1281</v>
      </c>
      <c r="D72" s="5"/>
      <c r="E72" s="5"/>
      <c r="F72" s="5"/>
      <c r="G72" s="5"/>
      <c r="H72" s="5"/>
      <c r="I72" s="5"/>
      <c r="J72" s="5"/>
      <c r="K72" s="5"/>
      <c r="L72" s="5"/>
    </row>
    <row r="73" customFormat="false" ht="25.5" hidden="false" customHeight="true" outlineLevel="0" collapsed="false">
      <c r="A73" s="12" t="s">
        <v>1282</v>
      </c>
      <c r="B73" s="46" t="n">
        <f aca="false">CORREL($P$106:$P$165,$E$106:$E$165)</f>
        <v>0.734943798922658</v>
      </c>
      <c r="C73" s="7" t="s">
        <v>1283</v>
      </c>
      <c r="D73" s="7"/>
      <c r="E73" s="7"/>
      <c r="F73" s="7"/>
      <c r="G73" s="7"/>
      <c r="H73" s="7"/>
      <c r="I73" s="7"/>
      <c r="J73" s="7"/>
      <c r="K73" s="7"/>
      <c r="L73" s="7"/>
    </row>
    <row r="74" customFormat="false" ht="25.5" hidden="false" customHeight="true" outlineLevel="0" collapsed="false">
      <c r="A74" s="12" t="s">
        <v>1284</v>
      </c>
      <c r="B74" s="46" t="n">
        <f aca="false">CORREL($P$106:$P$165,$H$106:$H$165)</f>
        <v>-0.61450854671011</v>
      </c>
      <c r="C74" s="7" t="s">
        <v>1285</v>
      </c>
      <c r="D74" s="7"/>
      <c r="E74" s="7"/>
      <c r="F74" s="7"/>
      <c r="G74" s="7"/>
      <c r="H74" s="7"/>
      <c r="I74" s="7"/>
      <c r="J74" s="7"/>
      <c r="K74" s="7"/>
      <c r="L74" s="7"/>
    </row>
    <row r="75" customFormat="false" ht="25.5" hidden="false" customHeight="true" outlineLevel="0" collapsed="false">
      <c r="A75" s="12" t="s">
        <v>1286</v>
      </c>
      <c r="B75" s="46" t="n">
        <f aca="false">CORREL($P$106:$P$165,$D$106:$D$165)</f>
        <v>0.620713145044736</v>
      </c>
      <c r="C75" s="7" t="s">
        <v>1287</v>
      </c>
      <c r="D75" s="7"/>
      <c r="E75" s="7"/>
      <c r="F75" s="7"/>
      <c r="G75" s="7"/>
      <c r="H75" s="7"/>
      <c r="I75" s="7"/>
      <c r="J75" s="7"/>
      <c r="K75" s="7"/>
      <c r="L75" s="7"/>
    </row>
    <row r="76" customFormat="false" ht="25.5" hidden="false" customHeight="true" outlineLevel="0" collapsed="false">
      <c r="A76" s="12" t="s">
        <v>1288</v>
      </c>
      <c r="B76" s="46" t="n">
        <f aca="false">CORREL($E$106:$E$165,$T$106:$T$165)</f>
        <v>0.162830309413695</v>
      </c>
      <c r="C76" s="7" t="s">
        <v>1289</v>
      </c>
      <c r="D76" s="7"/>
      <c r="E76" s="7"/>
      <c r="F76" s="7"/>
      <c r="G76" s="7"/>
      <c r="H76" s="7"/>
      <c r="I76" s="7"/>
      <c r="J76" s="7"/>
      <c r="K76" s="7"/>
      <c r="L76" s="7"/>
    </row>
    <row r="77" customFormat="false" ht="25.5" hidden="false" customHeight="true" outlineLevel="0" collapsed="false">
      <c r="A77" s="12" t="s">
        <v>1290</v>
      </c>
      <c r="B77" s="46" t="n">
        <f aca="false">CORREL($P$106:$P$165,$L$106:$L$165)</f>
        <v>0.832496552994652</v>
      </c>
      <c r="C77" s="7" t="s">
        <v>1291</v>
      </c>
      <c r="D77" s="7"/>
      <c r="E77" s="7"/>
      <c r="F77" s="7"/>
      <c r="G77" s="7"/>
      <c r="H77" s="7"/>
      <c r="I77" s="7"/>
      <c r="J77" s="7"/>
      <c r="K77" s="7"/>
      <c r="L77" s="7"/>
    </row>
    <row r="79" customFormat="false" ht="30" hidden="false" customHeight="true" outlineLevel="0" collapsed="false">
      <c r="A79" s="5" t="s">
        <v>1292</v>
      </c>
      <c r="B79" s="5" t="s">
        <v>1293</v>
      </c>
      <c r="C79" s="5" t="s">
        <v>1223</v>
      </c>
    </row>
    <row r="80" customFormat="false" ht="15" hidden="false" customHeight="false" outlineLevel="0" collapsed="false">
      <c r="A80" s="12" t="s">
        <v>1294</v>
      </c>
      <c r="B80" s="19" t="n">
        <f aca="false">AVERAGEIFS($E$106:$E$165,$X$106:$X$165,1,$T$106:$T$165,"&lt;"&amp;'Assumptions &amp; Data'!$C$72)/AVERAGEIFS($S$106:$S$165,$X$106:$X$165,1,$T$106:$T$165,"&lt;"&amp;'Assumptions &amp; Data'!$C$72)</f>
        <v>22.031046537033</v>
      </c>
      <c r="C80" s="32" t="n">
        <f aca="false">COUNTIFS($X$106:$X$165,1,$T$106:$T$165,"&lt;"&amp;'Assumptions &amp; Data'!$C$72)</f>
        <v>11</v>
      </c>
      <c r="D80" s="3" t="s">
        <v>1295</v>
      </c>
    </row>
    <row r="81" customFormat="false" ht="15" hidden="false" customHeight="false" outlineLevel="0" collapsed="false">
      <c r="A81" s="12" t="s">
        <v>1296</v>
      </c>
      <c r="B81" s="19" t="n">
        <f aca="false">AVERAGEIFS($E$106:$E$165,$X$106:$X$165,1,$T$106:$T$165,"&gt;="&amp;'Assumptions &amp; Data'!$C$72)/AVERAGEIFS($S$106:$S$165,$X$106:$X$165,1,$T$106:$T$165,"&gt;="&amp;'Assumptions &amp; Data'!$C$72)</f>
        <v>30.54838536205</v>
      </c>
      <c r="C81" s="32" t="n">
        <f aca="false">COUNTIFS($X$106:$X$165,1,$T$106:$T$165,"&gt;="&amp;'Assumptions &amp; Data'!$C$72)</f>
        <v>35</v>
      </c>
    </row>
    <row r="82" customFormat="false" ht="15" hidden="false" customHeight="false" outlineLevel="0" collapsed="false">
      <c r="A82" s="6" t="s">
        <v>1297</v>
      </c>
      <c r="B82" s="22" t="n">
        <f aca="false">B80/B81-1</f>
        <v>-0.278814697538745</v>
      </c>
    </row>
    <row r="85" customFormat="false" ht="15" hidden="false" customHeight="false" outlineLevel="0" collapsed="false">
      <c r="A85" s="4" t="s">
        <v>1298</v>
      </c>
    </row>
    <row r="86" customFormat="false" ht="36" hidden="false" customHeight="true" outlineLevel="0" collapsed="false">
      <c r="A86" s="5" t="s">
        <v>1299</v>
      </c>
      <c r="B86" s="5" t="s">
        <v>1300</v>
      </c>
      <c r="C86" s="5" t="s">
        <v>1301</v>
      </c>
      <c r="D86" s="5" t="s">
        <v>1302</v>
      </c>
      <c r="E86" s="5" t="s">
        <v>1303</v>
      </c>
      <c r="F86" s="5" t="s">
        <v>1304</v>
      </c>
      <c r="G86" s="5" t="s">
        <v>1305</v>
      </c>
      <c r="H86" s="5" t="s">
        <v>1306</v>
      </c>
      <c r="I86" s="5"/>
      <c r="J86" s="5"/>
      <c r="K86" s="5"/>
      <c r="L86" s="5"/>
      <c r="M86" s="5"/>
      <c r="N86" s="5"/>
    </row>
    <row r="87" customFormat="false" ht="57.75" hidden="false" customHeight="true" outlineLevel="0" collapsed="false">
      <c r="A87" s="47" t="s">
        <v>1307</v>
      </c>
      <c r="B87" s="8" t="s">
        <v>1308</v>
      </c>
      <c r="C87" s="32" t="n">
        <f aca="false">COUNTIF($O$106:$O$165,"&lt;0")</f>
        <v>22</v>
      </c>
      <c r="D87" s="8" t="s">
        <v>1309</v>
      </c>
      <c r="E87" s="32" t="n">
        <f aca="false">COUNTIFS($O$106:$O$165,"&lt;0",$D$106:$D$165,"&lt;"&amp;'Assumptions &amp; Data'!$C$64)</f>
        <v>14</v>
      </c>
      <c r="F87" s="8" t="s">
        <v>1310</v>
      </c>
      <c r="G87" s="21" t="n">
        <f aca="false">SUMIF($O$106:$O$165,"&lt;0",$O$106:$O$165)</f>
        <v>-129.080331640678</v>
      </c>
      <c r="H87" s="7" t="s">
        <v>1311</v>
      </c>
      <c r="I87" s="7"/>
      <c r="J87" s="7"/>
      <c r="K87" s="7"/>
      <c r="L87" s="7"/>
      <c r="M87" s="7"/>
      <c r="N87" s="7"/>
    </row>
    <row r="88" customFormat="false" ht="57.75" hidden="false" customHeight="true" outlineLevel="0" collapsed="false">
      <c r="A88" s="47" t="s">
        <v>1312</v>
      </c>
      <c r="B88" s="8" t="s">
        <v>1313</v>
      </c>
      <c r="C88" s="19" t="n">
        <f aca="false">B80</f>
        <v>22.031046537033</v>
      </c>
      <c r="D88" s="8" t="s">
        <v>1314</v>
      </c>
      <c r="E88" s="19" t="n">
        <f aca="false">B81</f>
        <v>30.54838536205</v>
      </c>
      <c r="F88" s="8" t="s">
        <v>1315</v>
      </c>
      <c r="G88" s="21" t="n">
        <f aca="false">SUMIFS($O$106:$O$165,$T$106:$T$165,"&lt;"&amp;'Assumptions &amp; Data'!$C$72,$O$106:$O$165,"&lt;0")</f>
        <v>-32.1756405903394</v>
      </c>
      <c r="H88" s="7" t="s">
        <v>1316</v>
      </c>
      <c r="I88" s="7"/>
      <c r="J88" s="7"/>
      <c r="K88" s="7"/>
      <c r="L88" s="7"/>
      <c r="M88" s="7"/>
      <c r="N88" s="7"/>
    </row>
    <row r="89" customFormat="false" ht="57.75" hidden="false" customHeight="true" outlineLevel="0" collapsed="false">
      <c r="A89" s="47" t="s">
        <v>1317</v>
      </c>
      <c r="B89" s="8" t="s">
        <v>1318</v>
      </c>
      <c r="C89" s="20" t="n">
        <f aca="false">C61</f>
        <v>0.132953140793422</v>
      </c>
      <c r="D89" s="8" t="s">
        <v>1319</v>
      </c>
      <c r="E89" s="20" t="n">
        <f aca="false">C63</f>
        <v>0.0346833326537378</v>
      </c>
      <c r="F89" s="8" t="s">
        <v>1320</v>
      </c>
      <c r="G89" s="21" t="n">
        <f aca="false">SUM($AH$106:$AH$165)-'Assumptions &amp; Data'!$C$68*SUM($AI$106:$AI$165)</f>
        <v>53.2905428985143</v>
      </c>
      <c r="H89" s="7" t="s">
        <v>1321</v>
      </c>
      <c r="I89" s="7"/>
      <c r="J89" s="7"/>
      <c r="K89" s="7"/>
      <c r="L89" s="7"/>
      <c r="M89" s="7"/>
      <c r="N89" s="7"/>
    </row>
    <row r="90" customFormat="false" ht="57.75" hidden="false" customHeight="true" outlineLevel="0" collapsed="false">
      <c r="A90" s="47" t="s">
        <v>1322</v>
      </c>
      <c r="B90" s="8" t="s">
        <v>1323</v>
      </c>
      <c r="C90" s="19" t="n">
        <f aca="false">SUM($AL$106:$AL$165)</f>
        <v>139.348511501798</v>
      </c>
      <c r="D90" s="8" t="s">
        <v>1324</v>
      </c>
      <c r="E90" s="32" t="n">
        <f aca="false">SUMPRODUCT($AR$106:$AR$165*$AU$106:$AU$165)</f>
        <v>15654.9170002275</v>
      </c>
      <c r="F90" s="8" t="s">
        <v>1325</v>
      </c>
      <c r="G90" s="21" t="n">
        <f aca="false">SUM($AM$106:$AM$165)+SUM($AV$106:$AV$165)</f>
        <v>66.2546788979396</v>
      </c>
      <c r="H90" s="7" t="s">
        <v>1326</v>
      </c>
      <c r="I90" s="7"/>
      <c r="J90" s="7"/>
      <c r="K90" s="7"/>
      <c r="L90" s="7"/>
      <c r="M90" s="7"/>
      <c r="N90" s="7"/>
    </row>
    <row r="91" customFormat="false" ht="57.75" hidden="false" customHeight="true" outlineLevel="0" collapsed="false">
      <c r="A91" s="47" t="s">
        <v>1327</v>
      </c>
      <c r="B91" s="8" t="s">
        <v>1328</v>
      </c>
      <c r="C91" s="20" t="n">
        <f aca="false">C66</f>
        <v>0.0340765488442408</v>
      </c>
      <c r="D91" s="8" t="s">
        <v>1329</v>
      </c>
      <c r="E91" s="20" t="n">
        <f aca="false">C68</f>
        <v>0.0235616388409191</v>
      </c>
      <c r="F91" s="8" t="s">
        <v>1330</v>
      </c>
      <c r="G91" s="21" t="n">
        <f aca="false">SUM($AK$106:$AK$165)+SUM($AO$106:$AO$165)</f>
        <v>78.8888202226093</v>
      </c>
      <c r="H91" s="7" t="s">
        <v>1331</v>
      </c>
      <c r="I91" s="7"/>
      <c r="J91" s="7"/>
      <c r="K91" s="7"/>
      <c r="L91" s="7"/>
      <c r="M91" s="7"/>
      <c r="N91" s="7"/>
    </row>
    <row r="93" customFormat="false" ht="15" hidden="false" customHeight="false" outlineLevel="0" collapsed="false">
      <c r="A93" s="3" t="s">
        <v>1332</v>
      </c>
    </row>
    <row r="103" customFormat="false" ht="15" hidden="false" customHeight="false" outlineLevel="0" collapsed="false">
      <c r="A103" s="4" t="s">
        <v>1333</v>
      </c>
    </row>
    <row r="105" customFormat="false" ht="66" hidden="false" customHeight="true" outlineLevel="0" collapsed="false">
      <c r="A105" s="5" t="s">
        <v>344</v>
      </c>
      <c r="B105" s="5" t="s">
        <v>291</v>
      </c>
      <c r="C105" s="5" t="s">
        <v>345</v>
      </c>
      <c r="D105" s="5" t="s">
        <v>1334</v>
      </c>
      <c r="E105" s="5" t="s">
        <v>1206</v>
      </c>
      <c r="F105" s="5" t="s">
        <v>1224</v>
      </c>
      <c r="G105" s="5" t="s">
        <v>1335</v>
      </c>
      <c r="H105" s="5" t="s">
        <v>420</v>
      </c>
      <c r="I105" s="5" t="s">
        <v>330</v>
      </c>
      <c r="J105" s="5" t="s">
        <v>1336</v>
      </c>
      <c r="K105" s="5" t="s">
        <v>425</v>
      </c>
      <c r="L105" s="5" t="s">
        <v>1337</v>
      </c>
      <c r="M105" s="5" t="s">
        <v>310</v>
      </c>
      <c r="N105" s="5" t="s">
        <v>1338</v>
      </c>
      <c r="O105" s="5" t="s">
        <v>1226</v>
      </c>
      <c r="P105" s="5" t="s">
        <v>1227</v>
      </c>
      <c r="Q105" s="5" t="s">
        <v>1339</v>
      </c>
      <c r="R105" s="5" t="s">
        <v>1340</v>
      </c>
      <c r="S105" s="5" t="s">
        <v>1341</v>
      </c>
      <c r="T105" s="5" t="s">
        <v>1342</v>
      </c>
      <c r="U105" s="5" t="s">
        <v>1343</v>
      </c>
      <c r="V105" s="5" t="s">
        <v>1344</v>
      </c>
      <c r="W105" s="5" t="s">
        <v>1345</v>
      </c>
      <c r="X105" s="5" t="s">
        <v>1346</v>
      </c>
      <c r="Y105" s="5" t="s">
        <v>1347</v>
      </c>
      <c r="Z105" s="5" t="s">
        <v>1348</v>
      </c>
      <c r="AA105" s="5" t="s">
        <v>1349</v>
      </c>
      <c r="AB105" s="5" t="s">
        <v>1350</v>
      </c>
      <c r="AC105" s="5" t="s">
        <v>1351</v>
      </c>
      <c r="AD105" s="5" t="s">
        <v>1352</v>
      </c>
      <c r="AE105" s="5" t="s">
        <v>1353</v>
      </c>
      <c r="AF105" s="5" t="s">
        <v>1354</v>
      </c>
      <c r="AG105" s="5" t="s">
        <v>1355</v>
      </c>
      <c r="AH105" s="5" t="s">
        <v>1356</v>
      </c>
      <c r="AI105" s="5" t="s">
        <v>1357</v>
      </c>
      <c r="AJ105" s="5" t="s">
        <v>1358</v>
      </c>
      <c r="AK105" s="5" t="s">
        <v>1359</v>
      </c>
      <c r="AL105" s="5" t="s">
        <v>1360</v>
      </c>
      <c r="AM105" s="5" t="s">
        <v>1361</v>
      </c>
      <c r="AN105" s="5" t="s">
        <v>1362</v>
      </c>
      <c r="AO105" s="5" t="s">
        <v>1363</v>
      </c>
      <c r="AP105" s="5" t="s">
        <v>1364</v>
      </c>
      <c r="AQ105" s="5" t="s">
        <v>1365</v>
      </c>
      <c r="AR105" s="5" t="s">
        <v>1366</v>
      </c>
      <c r="AS105" s="5" t="s">
        <v>1367</v>
      </c>
      <c r="AT105" s="5" t="s">
        <v>1368</v>
      </c>
      <c r="AU105" s="5" t="s">
        <v>1369</v>
      </c>
      <c r="AV105" s="5" t="s">
        <v>1370</v>
      </c>
      <c r="AW105" s="5" t="s">
        <v>1371</v>
      </c>
      <c r="AX105" s="5" t="s">
        <v>1372</v>
      </c>
      <c r="AY105" s="5" t="s">
        <v>1373</v>
      </c>
      <c r="AZ105" s="5" t="s">
        <v>1374</v>
      </c>
      <c r="BA105" s="5" t="s">
        <v>1375</v>
      </c>
      <c r="BB105" s="5" t="s">
        <v>1376</v>
      </c>
      <c r="BC105" s="5" t="s">
        <v>348</v>
      </c>
      <c r="BD105" s="5" t="s">
        <v>1377</v>
      </c>
      <c r="BE105" s="5" t="s">
        <v>1378</v>
      </c>
      <c r="BF105" s="5" t="s">
        <v>1379</v>
      </c>
      <c r="BG105" s="5" t="s">
        <v>1380</v>
      </c>
      <c r="BH105" s="5" t="s">
        <v>1381</v>
      </c>
      <c r="BI105" s="5" t="s">
        <v>1382</v>
      </c>
      <c r="BJ105" s="5" t="s">
        <v>1383</v>
      </c>
      <c r="BK105" s="5" t="s">
        <v>1384</v>
      </c>
      <c r="BL105" s="5" t="s">
        <v>1385</v>
      </c>
      <c r="BM105" s="5" t="s">
        <v>1386</v>
      </c>
      <c r="BN105" s="5" t="s">
        <v>1387</v>
      </c>
      <c r="BO105" s="5" t="s">
        <v>1388</v>
      </c>
      <c r="BP105" s="5" t="s">
        <v>1389</v>
      </c>
      <c r="BQ105" s="5" t="s">
        <v>1390</v>
      </c>
      <c r="BR105" s="5" t="s">
        <v>1391</v>
      </c>
      <c r="BS105" s="5" t="s">
        <v>1392</v>
      </c>
      <c r="BT105" s="5" t="s">
        <v>1393</v>
      </c>
      <c r="BU105" s="5" t="s">
        <v>1394</v>
      </c>
      <c r="BV105" s="5" t="s">
        <v>1395</v>
      </c>
      <c r="BW105" s="5" t="s">
        <v>1396</v>
      </c>
      <c r="BX105" s="5" t="s">
        <v>1397</v>
      </c>
      <c r="BY105" s="5" t="s">
        <v>1398</v>
      </c>
      <c r="BZ105" s="5" t="s">
        <v>1399</v>
      </c>
    </row>
    <row r="106" customFormat="false" ht="15" hidden="false" customHeight="false" outlineLevel="0" collapsed="false">
      <c r="A106" s="48" t="str">
        <f aca="false">'Assumptions &amp; Data'!A142</f>
        <v>DS001</v>
      </c>
      <c r="B106" s="48" t="str">
        <f aca="false">'Assumptions &amp; Data'!B142</f>
        <v>Delhi NCR</v>
      </c>
      <c r="C106" s="48" t="str">
        <f aca="false">'Assumptions &amp; Data'!C142</f>
        <v>Commercial / office</v>
      </c>
      <c r="D106" s="37" t="n">
        <f aca="false">'Assumptions &amp; Data'!D142</f>
        <v>12</v>
      </c>
      <c r="E106" s="39" t="n">
        <f aca="false">SUMIFS('Financial Analysis'!$E$71:$E$790,'Financial Analysis'!$B$71:$B$790,$A106,'Financial Analysis'!$C$71:$C$790,"&gt;="&amp;'Assumptions &amp; Data'!$C$62)/'Assumptions &amp; Data'!$C$63</f>
        <v>472.021739130435</v>
      </c>
      <c r="F106" s="40" t="n">
        <f aca="false">SUMIFS('Financial Analysis'!$H$71:$H$790,'Financial Analysis'!$B$71:$B$790,$A106,'Financial Analysis'!$C$71:$C$790,"&gt;="&amp;'Assumptions &amp; Data'!$C$62)/'Assumptions &amp; Data'!$C$85/100000</f>
        <v>80.0151629618</v>
      </c>
      <c r="G106" s="40" t="n">
        <f aca="false">SUMIFS('Financial Analysis'!$F$71:$F$790,'Financial Analysis'!$B$71:$B$790,$A106,'Financial Analysis'!$C$71:$C$790,"&gt;="&amp;'Assumptions &amp; Data'!$C$62)/SUMIFS('Financial Analysis'!$E$71:$E$790,'Financial Analysis'!$B$71:$B$790,$A106,'Financial Analysis'!$C$71:$C$790,"&gt;="&amp;'Assumptions &amp; Data'!$C$62)</f>
        <v>586.886482752268</v>
      </c>
      <c r="H106" s="49" t="n">
        <f aca="false">SUMIFS('Financial Analysis'!$G$71:$G$790,'Financial Analysis'!$B$71:$B$790,$A106,'Financial Analysis'!$C$71:$C$790,"&gt;="&amp;'Assumptions &amp; Data'!$C$62)/SUMIFS('Financial Analysis'!$F$71:$F$790,'Financial Analysis'!$B$71:$B$790,$A106,'Financial Analysis'!$C$71:$C$790,"&gt;="&amp;'Assumptions &amp; Data'!$C$62)</f>
        <v>0.0581329284572029</v>
      </c>
      <c r="I106" s="49" t="n">
        <f aca="false">SUMIFS('Financial Analysis'!$L$71:$L$790,'Financial Analysis'!$B$71:$B$790,$A106,'Financial Analysis'!$C$71:$C$790,"&gt;="&amp;'Assumptions &amp; Data'!$C$62)/SUMIFS('Financial Analysis'!$H$71:$H$790,'Financial Analysis'!$B$71:$B$790,$A106,'Financial Analysis'!$C$71:$C$790,"&gt;="&amp;'Assumptions &amp; Data'!$C$62)</f>
        <v>0.0346471565409326</v>
      </c>
      <c r="J106" s="40" t="n">
        <f aca="false">SUMIFS('Financial Analysis'!$N$71:$N$790,'Financial Analysis'!$B$71:$B$790,$A106,'Financial Analysis'!$C$71:$C$790,"&gt;="&amp;'Assumptions &amp; Data'!$C$62)/SUMIFS('Financial Analysis'!$E$71:$E$790,'Financial Analysis'!$B$71:$B$790,$A106,'Financial Analysis'!$C$71:$C$790,"&gt;="&amp;'Assumptions &amp; Data'!$C$62)</f>
        <v>44.4347637360107</v>
      </c>
      <c r="K106" s="40" t="n">
        <f aca="false">SUMIFS('Financial Analysis'!$R$71:$R$790,'Financial Analysis'!$B$71:$B$790,$A106,'Financial Analysis'!$C$71:$C$790,"&gt;="&amp;'Assumptions &amp; Data'!$C$62)/AVERAGEIFS('Assumptions &amp; Data'!$M$205:$M$924,'Assumptions &amp; Data'!$B$205:$B$924,$A106,'Assumptions &amp; Data'!$C$205:$C$924,"&gt;="&amp;'Assumptions &amp; Data'!$C$62)/'Assumptions &amp; Data'!$C$85</f>
        <v>16</v>
      </c>
      <c r="L106" s="40" t="n">
        <f aca="false">E106/K106</f>
        <v>29.5013586956522</v>
      </c>
      <c r="M106" s="40" t="n">
        <f aca="false">SUMIFS('Financial Analysis'!$Q$71:$Q$790,'Financial Analysis'!$B$71:$B$790,$A106,'Financial Analysis'!$C$71:$C$790,"&gt;="&amp;'Assumptions &amp; Data'!$C$62)/SUMIFS('Financial Analysis'!$E$71:$E$790,'Financial Analysis'!$B$71:$B$790,$A106,'Financial Analysis'!$C$71:$C$790,"&gt;="&amp;'Assumptions &amp; Data'!$C$62)</f>
        <v>33.7164370670532</v>
      </c>
      <c r="N106" s="40" t="n">
        <f aca="false">SUMIFS('Financial Analysis'!$Y$71:$Y$790,'Financial Analysis'!$B$71:$B$790,$A106,'Financial Analysis'!$C$71:$C$790,"&gt;="&amp;'Assumptions &amp; Data'!$C$62)/'Assumptions &amp; Data'!$C$85/100000</f>
        <v>10.55976</v>
      </c>
      <c r="O106" s="40" t="n">
        <f aca="false">SUMIFS('Financial Analysis'!$V$71:$V$790,'Financial Analysis'!$B$71:$B$790,$A106,'Financial Analysis'!$C$71:$C$790,"&gt;="&amp;'Assumptions &amp; Data'!$C$62)/'Assumptions &amp; Data'!$C$85/100000</f>
        <v>-5.67919334642049</v>
      </c>
      <c r="P106" s="49" t="n">
        <f aca="false">O106/F106</f>
        <v>-0.0709764641625712</v>
      </c>
      <c r="Q106" s="39" t="n">
        <f aca="false">IF(M106&gt;0,N106*100000/(M106*'Assumptions &amp; Data'!$C$63/'Assumptions &amp; Data'!$C$85),9999)</f>
        <v>1021.28228826551</v>
      </c>
      <c r="R106" s="49" t="n">
        <f aca="false">E106/Q106-1</f>
        <v>-0.537814623288833</v>
      </c>
      <c r="S106" s="50" t="n">
        <f aca="false">'Assumptions &amp; Data'!E142</f>
        <v>29.5</v>
      </c>
      <c r="T106" s="50" t="n">
        <f aca="false">'Assumptions &amp; Data'!G142</f>
        <v>1</v>
      </c>
      <c r="U106" s="49" t="n">
        <f aca="false">MAX(0,('Assumptions &amp; Data'!$C$72-T106)/'Assumptions &amp; Data'!$C$72)*'Assumptions &amp; Data'!$C$73</f>
        <v>0.166666666666667</v>
      </c>
      <c r="V106" s="39" t="n">
        <f aca="false">S106*$B$6*(1-U106)</f>
        <v>875.695840498639</v>
      </c>
      <c r="W106" s="49" t="n">
        <f aca="false">V106/E106-1</f>
        <v>0.855202351721891</v>
      </c>
      <c r="X106" s="39" t="n">
        <f aca="false">IF(D106&gt;='Assumptions &amp; Data'!$C$64,1,0)</f>
        <v>1</v>
      </c>
      <c r="Y106" s="40" t="str">
        <f aca="false">IF(AND(X106=1,T106&gt;='Assumptions &amp; Data'!$C$72),E106/S106,"")</f>
        <v/>
      </c>
      <c r="Z106" s="49" t="n">
        <f aca="false">IF(X106=1,H106,"")</f>
        <v>0.0581329284572029</v>
      </c>
      <c r="AA106" s="49" t="n">
        <f aca="false">IF(X106=1,I106,"")</f>
        <v>0.0346471565409326</v>
      </c>
      <c r="AB106" s="40" t="n">
        <f aca="false">IF(X106=1,J106,"")</f>
        <v>44.4347637360107</v>
      </c>
      <c r="AC106" s="40" t="n">
        <f aca="false">IF(X106=1,L106,"")</f>
        <v>29.5013586956522</v>
      </c>
      <c r="AD106" s="40" t="n">
        <f aca="false">IF(X106=1,AP106/E106*100,"")</f>
        <v>635.563947865334</v>
      </c>
      <c r="AE106" s="40" t="n">
        <f aca="false">IF(X106=1,M106,"")</f>
        <v>33.7164370670532</v>
      </c>
      <c r="AF106" s="40" t="n">
        <f aca="false">E106*'Assumptions &amp; Data'!$C$63/'Assumptions &amp; Data'!$C$85*G106/100000</f>
        <v>84.9537746666667</v>
      </c>
      <c r="AG106" s="49" t="n">
        <f aca="false">MAX(0,H106-$B$7)</f>
        <v>0.00332782845394607</v>
      </c>
      <c r="AH106" s="40" t="n">
        <f aca="false">AG106*AF106</f>
        <v>0.282711588605856</v>
      </c>
      <c r="AI106" s="40" t="n">
        <f aca="false">AG106*100*E106*'Assumptions &amp; Data'!$C$63/'Assumptions &amp; Data'!$C$85*M106/100000</f>
        <v>1.62416885811622</v>
      </c>
      <c r="AJ106" s="49" t="n">
        <f aca="false">MAX(0,I106-$B$8)</f>
        <v>0.0132425628306455</v>
      </c>
      <c r="AK106" s="40" t="n">
        <f aca="false">AJ106*F106</f>
        <v>1.05960582292598</v>
      </c>
      <c r="AL106" s="40" t="n">
        <f aca="false">MAX(0,K106-E106/$B$10)</f>
        <v>3.63306797335432</v>
      </c>
      <c r="AM106" s="40" t="n">
        <f aca="false">AL106*BN106/K106</f>
        <v>0.769883434233513</v>
      </c>
      <c r="AN106" s="40" t="n">
        <f aca="false">MAX(0,J106-$B$9)</f>
        <v>6.22860713954994</v>
      </c>
      <c r="AO106" s="40" t="n">
        <f aca="false">AN106*E106*'Assumptions &amp; Data'!$C$63/'Assumptions &amp; Data'!$C$85/100000</f>
        <v>0.901611645473652</v>
      </c>
      <c r="AP106" s="37" t="n">
        <f aca="false">'Assumptions &amp; Data'!H142</f>
        <v>3000</v>
      </c>
      <c r="AQ106" s="39" t="n">
        <f aca="false">MIN(AP106,$B$11*E106/100)</f>
        <v>1813.68143409372</v>
      </c>
      <c r="AR106" s="39" t="n">
        <f aca="false">IF(AP106-AQ106&gt;'Assumptions &amp; Data'!$C$78*AP106,AP106-AQ106,0)</f>
        <v>1186.31856590628</v>
      </c>
      <c r="AS106" s="50" t="n">
        <f aca="false">'Assumptions &amp; Data'!I142</f>
        <v>157</v>
      </c>
      <c r="AT106" s="40" t="n">
        <f aca="false">INDEX('Assumptions &amp; Data'!$B$89:$E$94,MATCH(B106,'Assumptions &amp; Data'!$A$89:$A$94,0),MATCH(C106,'Assumptions &amp; Data'!$B$88:$E$88,0))</f>
        <v>179</v>
      </c>
      <c r="AU106" s="39" t="n">
        <f aca="false">IF(BY106&lt;='Assumptions &amp; Data'!$C$79,1,0)</f>
        <v>0</v>
      </c>
      <c r="AV106" s="40" t="n">
        <f aca="false">AU106*(AR106*AS106+MAX(0,AS106-AT106)*(AP106-AR106))/100000</f>
        <v>0</v>
      </c>
      <c r="AW106" s="40" t="n">
        <f aca="false">'Assumptions &amp; Data'!$C$67*(AH106-'Assumptions &amp; Data'!$C$68*AI106+AK106+AM106+AO106+AV106)</f>
        <v>1.7985424815947</v>
      </c>
      <c r="AX106" s="40" t="n">
        <f aca="false">O106+AW106</f>
        <v>-3.88065086482579</v>
      </c>
      <c r="AY106" s="49" t="n">
        <f aca="false">IF(D106&lt;'Assumptions &amp; Data'!$C$64,'Assumptions &amp; Data'!$C$70,'Assumptions &amp; Data'!$C$69)</f>
        <v>0.5</v>
      </c>
      <c r="AZ106" s="40" t="n">
        <f aca="false">AY106*MAX(0,V106-E106)*'Assumptions &amp; Data'!$C$63/'Assumptions &amp; Data'!$C$85*(M106-'Assumptions &amp; Data'!$C$71)/100000</f>
        <v>1.46796908450707</v>
      </c>
      <c r="BA106" s="40" t="n">
        <f aca="false">AX106+AZ106</f>
        <v>-2.41268178031872</v>
      </c>
      <c r="BB106" s="40" t="n">
        <f aca="false">BA106+(1-'Assumptions &amp; Data'!$C$67)*AV106</f>
        <v>-2.41268178031872</v>
      </c>
      <c r="BC106" s="48" t="str">
        <f aca="false">'Assumptions &amp; Data'!F142</f>
        <v>DS011</v>
      </c>
      <c r="BD106" s="39" t="n">
        <f aca="false">INDEX('Assumptions &amp; Data'!$K$142:$K$201,MATCH(BC106,'Assumptions &amp; Data'!$A$142:$A$201,0))*'Assumptions &amp; Data'!$C$77</f>
        <v>1458</v>
      </c>
      <c r="BE106" s="39" t="n">
        <f aca="false">MAX(0,BD106-INDEX($E$106:$E$165,MATCH(BC106,$A$106:$A$165,0)))</f>
        <v>399.956521739131</v>
      </c>
      <c r="BF106" s="39" t="n">
        <f aca="false">IF(T106&lt;='Assumptions &amp; Data'!$C$74,MIN('Assumptions &amp; Data'!$C$76*E106,BE106),0)</f>
        <v>283.213043478261</v>
      </c>
      <c r="BG106" s="40" t="n">
        <f aca="false">-O106+BF106*'Assumptions &amp; Data'!$C$63/'Assumptions &amp; Data'!$C$85*($B$12-'Assumptions &amp; Data'!$C$71)/100000</f>
        <v>10.4332141459228</v>
      </c>
      <c r="BH106" s="40" t="n">
        <f aca="false">(AS106*AP106*BY106*'Assumptions &amp; Data'!$C$82+K106*(BN106*100000/K106)*'Assumptions &amp; Data'!$C$80*(1-'Assumptions &amp; Data'!$C$81)+AP106*'Assumptions &amp; Data'!$C$83)/100000</f>
        <v>49.041504</v>
      </c>
      <c r="BI106" s="40" t="n">
        <f aca="false">'Assumptions &amp; Data'!L142*MAX(0,1-D106/'Assumptions &amp; Data'!$C$84)</f>
        <v>87.4285714285714</v>
      </c>
      <c r="BJ106" s="40" t="n">
        <f aca="false">IF(BG106&gt;0,BH106/BG106,99)</f>
        <v>4.70051733953576</v>
      </c>
      <c r="BK106" s="2" t="str">
        <f aca="false">IF(AND(P106&gt;='Assumptions &amp; Data'!$C$65,R106&gt;=0,W106&gt;='Assumptions &amp; Data'!$C$66),"Scale",IF(OR(O106&gt;=0,AX106&gt;=0),"Optimise",IF(BA106&gt;=0,"Turn around",IF(BB106&gt;=0,"Relocate or resize",IF(AND(BF106&gt;0,BJ106&lt;='Assumptions &amp; Data'!$C$75,D106&gt;='Assumptions &amp; Data'!$C$64),"Close","Relocate or resize")))))</f>
        <v>Close</v>
      </c>
      <c r="BL106" s="42" t="str">
        <f aca="false">INDEX($BK$106:$BK$165,MATCH(BC106,$A$106:$A$165,0))</f>
        <v>Scale</v>
      </c>
      <c r="BM106" s="42" t="str">
        <f aca="false">IF(RANK(P106,$P$106:$P$165)&lt;=ROUND(COUNT($P$106:$P$165)/4,0),"Q1 top",IF(RANK(P106,$P$106:$P$165)&gt;COUNT($P$106:$P$165)-ROUND(COUNT($P$106:$P$165)/4,0),"Q4 bottom","Q2-Q3 middle"))</f>
        <v>Q4 bottom</v>
      </c>
      <c r="BN106" s="40" t="n">
        <f aca="false">SUMIFS('Financial Analysis'!$R$71:$R$790,'Financial Analysis'!$B$71:$B$790,$A106,'Financial Analysis'!$C$71:$C$790,"&gt;="&amp;'Assumptions &amp; Data'!$C$62)/'Assumptions &amp; Data'!$C$85/100000</f>
        <v>3.39056</v>
      </c>
      <c r="BO106" s="40" t="n">
        <f aca="false">SUMIFS('Financial Analysis'!$H$71:$H$790,'Financial Analysis'!$B$71:$B$790,$A106,'Financial Analysis'!$C$71:$C$790,"&gt;="&amp;'Assumptions &amp; Data'!$C$62)/SUMIFS('Financial Analysis'!$E$71:$E$790,'Financial Analysis'!$B$71:$B$790,$A106,'Financial Analysis'!$C$71:$C$790,"&gt;="&amp;'Assumptions &amp; Data'!$C$62)</f>
        <v>552.769052837931</v>
      </c>
      <c r="BP106" s="40" t="n">
        <f aca="false">(SUMIFS('Financial Analysis'!$I$71:$I$790,'Financial Analysis'!$B$71:$B$790,$A106,'Financial Analysis'!$C$71:$C$790,"&gt;="&amp;'Assumptions &amp; Data'!$C$62)+SUMIFS('Financial Analysis'!$J$71:$J$790,'Financial Analysis'!$B$71:$B$790,$A106,'Financial Analysis'!$C$71:$C$790,"&gt;="&amp;'Assumptions &amp; Data'!$C$62)+SUMIFS('Financial Analysis'!$K$71:$K$790,'Financial Analysis'!$B$71:$B$790,$A106,'Financial Analysis'!$C$71:$C$790,"&gt;="&amp;'Assumptions &amp; Data'!$C$62))/SUMIFS('Financial Analysis'!$E$71:$E$790,'Financial Analysis'!$B$71:$B$790,$A106,'Financial Analysis'!$C$71:$C$790,"&gt;="&amp;'Assumptions &amp; Data'!$C$62)</f>
        <v>113.049731323667</v>
      </c>
      <c r="BQ106" s="40" t="n">
        <f aca="false">SUMIFS('Financial Analysis'!$L$71:$L$790,'Financial Analysis'!$B$71:$B$790,$A106,'Financial Analysis'!$C$71:$C$790,"&gt;="&amp;'Assumptions &amp; Data'!$C$62)/SUMIFS('Financial Analysis'!$E$71:$E$790,'Financial Analysis'!$B$71:$B$790,$A106,'Financial Analysis'!$C$71:$C$790,"&gt;="&amp;'Assumptions &amp; Data'!$C$62)</f>
        <v>19.1518759046589</v>
      </c>
      <c r="BR106" s="40" t="n">
        <f aca="false">SUMIFS('Financial Analysis'!$L$71:$L$790,'Financial Analysis'!$B$71:$B$790,$A106,'Financial Analysis'!$C$71:$C$790,"&gt;="&amp;'Assumptions &amp; Data'!$C$62)/SUMIFS('Financial Analysis'!$E$71:$E$790,'Financial Analysis'!$B$71:$B$790,$A106,'Financial Analysis'!$C$71:$C$790,"&gt;="&amp;'Assumptions &amp; Data'!$C$62)</f>
        <v>19.1518759046589</v>
      </c>
      <c r="BS106" s="40" t="n">
        <f aca="false">SUMIFS('Financial Analysis'!$N$71:$N$790,'Financial Analysis'!$B$71:$B$790,$A106,'Financial Analysis'!$C$71:$C$790,"&gt;="&amp;'Assumptions &amp; Data'!$C$62)/SUMIFS('Financial Analysis'!$E$71:$E$790,'Financial Analysis'!$B$71:$B$790,$A106,'Financial Analysis'!$C$71:$C$790,"&gt;="&amp;'Assumptions &amp; Data'!$C$62)</f>
        <v>44.4347637360107</v>
      </c>
      <c r="BT106" s="40" t="n">
        <f aca="false">(SUMIFS('Financial Analysis'!$O$71:$O$790,'Financial Analysis'!$B$71:$B$790,$A106,'Financial Analysis'!$C$71:$C$790,"&gt;="&amp;'Assumptions &amp; Data'!$C$62)+SUMIFS('Financial Analysis'!$P$71:$P$790,'Financial Analysis'!$B$71:$B$790,$A106,'Financial Analysis'!$C$71:$C$790,"&gt;="&amp;'Assumptions &amp; Data'!$C$62))/SUMIFS('Financial Analysis'!$E$71:$E$790,'Financial Analysis'!$B$71:$B$790,$A106,'Financial Analysis'!$C$71:$C$790,"&gt;="&amp;'Assumptions &amp; Data'!$C$62)</f>
        <v>15.7466546159443</v>
      </c>
      <c r="BU106" s="40" t="n">
        <f aca="false">SUMIFS('Financial Analysis'!$R$71:$R$790,'Financial Analysis'!$B$71:$B$790,$A106,'Financial Analysis'!$C$71:$C$790,"&gt;="&amp;'Assumptions &amp; Data'!$C$62)/SUMIFS('Financial Analysis'!$E$71:$E$790,'Financial Analysis'!$B$71:$B$790,$A106,'Financial Analysis'!$C$71:$C$790,"&gt;="&amp;'Assumptions &amp; Data'!$C$62)</f>
        <v>23.4230184681988</v>
      </c>
      <c r="BV106" s="40" t="n">
        <f aca="false">SUMIFS('Financial Analysis'!$S$71:$S$790,'Financial Analysis'!$B$71:$B$790,$A106,'Financial Analysis'!$C$71:$C$790,"&gt;="&amp;'Assumptions &amp; Data'!$C$62)/SUMIFS('Financial Analysis'!$E$71:$E$790,'Financial Analysis'!$B$71:$B$790,$A106,'Financial Analysis'!$C$71:$C$790,"&gt;="&amp;'Assumptions &amp; Data'!$C$62)</f>
        <v>32.5381108091927</v>
      </c>
      <c r="BW106" s="40" t="n">
        <f aca="false">(SUMIFS('Financial Analysis'!$T$71:$T$790,'Financial Analysis'!$B$71:$B$790,$A106,'Financial Analysis'!$C$71:$C$790,"&gt;="&amp;'Assumptions &amp; Data'!$C$62)+SUMIFS('Financial Analysis'!$U$71:$U$790,'Financial Analysis'!$B$71:$B$790,$A106,'Financial Analysis'!$C$71:$C$790,"&gt;="&amp;'Assumptions &amp; Data'!$C$62))/SUMIFS('Financial Analysis'!$E$71:$E$790,'Financial Analysis'!$B$71:$B$790,$A106,'Financial Analysis'!$C$71:$C$790,"&gt;="&amp;'Assumptions &amp; Data'!$C$62)</f>
        <v>16.9889006585916</v>
      </c>
      <c r="BX106" s="40" t="n">
        <f aca="false">SUMIFS('Financial Analysis'!$V$71:$V$790,'Financial Analysis'!$B$71:$B$790,$A106,'Financial Analysis'!$C$71:$C$790,"&gt;="&amp;'Assumptions &amp; Data'!$C$62)/SUMIFS('Financial Analysis'!$E$71:$E$790,'Financial Analysis'!$B$71:$B$790,$A106,'Financial Analysis'!$C$71:$C$790,"&gt;="&amp;'Assumptions &amp; Data'!$C$62)</f>
        <v>-39.2335928689299</v>
      </c>
      <c r="BY106" s="37" t="n">
        <f aca="false">'Assumptions &amp; Data'!J142</f>
        <v>18</v>
      </c>
      <c r="BZ106" s="39" t="n">
        <f aca="false">IF(BK106="Close",COUNTIF($BK$106:BK106,"Close"),"")</f>
        <v>1</v>
      </c>
    </row>
    <row r="107" customFormat="false" ht="15" hidden="false" customHeight="false" outlineLevel="0" collapsed="false">
      <c r="A107" s="48" t="str">
        <f aca="false">'Assumptions &amp; Data'!A143</f>
        <v>DS002</v>
      </c>
      <c r="B107" s="48" t="str">
        <f aca="false">'Assumptions &amp; Data'!B143</f>
        <v>Delhi NCR</v>
      </c>
      <c r="C107" s="48" t="str">
        <f aca="false">'Assumptions &amp; Data'!C143</f>
        <v>Peripheral / emerging</v>
      </c>
      <c r="D107" s="37" t="n">
        <f aca="false">'Assumptions &amp; Data'!D143</f>
        <v>37</v>
      </c>
      <c r="E107" s="39" t="n">
        <f aca="false">SUMIFS('Financial Analysis'!$E$71:$E$790,'Financial Analysis'!$B$71:$B$790,$A107,'Financial Analysis'!$C$71:$C$790,"&gt;="&amp;'Assumptions &amp; Data'!$C$62)/'Assumptions &amp; Data'!$C$63</f>
        <v>735.347826086957</v>
      </c>
      <c r="F107" s="40" t="n">
        <f aca="false">SUMIFS('Financial Analysis'!$H$71:$H$790,'Financial Analysis'!$B$71:$B$790,$A107,'Financial Analysis'!$C$71:$C$790,"&gt;="&amp;'Assumptions &amp; Data'!$C$62)/'Assumptions &amp; Data'!$C$85/100000</f>
        <v>131.7317963034</v>
      </c>
      <c r="G107" s="40" t="n">
        <f aca="false">SUMIFS('Financial Analysis'!$F$71:$F$790,'Financial Analysis'!$B$71:$B$790,$A107,'Financial Analysis'!$C$71:$C$790,"&gt;="&amp;'Assumptions &amp; Data'!$C$62)/SUMIFS('Financial Analysis'!$E$71:$E$790,'Financial Analysis'!$B$71:$B$790,$A107,'Financial Analysis'!$C$71:$C$790,"&gt;="&amp;'Assumptions &amp; Data'!$C$62)</f>
        <v>631.586675929758</v>
      </c>
      <c r="H107" s="49" t="n">
        <f aca="false">SUMIFS('Financial Analysis'!$G$71:$G$790,'Financial Analysis'!$B$71:$B$790,$A107,'Financial Analysis'!$C$71:$C$790,"&gt;="&amp;'Assumptions &amp; Data'!$C$62)/SUMIFS('Financial Analysis'!$F$71:$F$790,'Financial Analysis'!$B$71:$B$790,$A107,'Financial Analysis'!$C$71:$C$790,"&gt;="&amp;'Assumptions &amp; Data'!$C$62)</f>
        <v>0.0750925684459027</v>
      </c>
      <c r="I107" s="49" t="n">
        <f aca="false">SUMIFS('Financial Analysis'!$L$71:$L$790,'Financial Analysis'!$B$71:$B$790,$A107,'Financial Analysis'!$C$71:$C$790,"&gt;="&amp;'Assumptions &amp; Data'!$C$62)/SUMIFS('Financial Analysis'!$H$71:$H$790,'Financial Analysis'!$B$71:$B$790,$A107,'Financial Analysis'!$C$71:$C$790,"&gt;="&amp;'Assumptions &amp; Data'!$C$62)</f>
        <v>0.0200270912489146</v>
      </c>
      <c r="J107" s="40" t="n">
        <f aca="false">SUMIFS('Financial Analysis'!$N$71:$N$790,'Financial Analysis'!$B$71:$B$790,$A107,'Financial Analysis'!$C$71:$C$790,"&gt;="&amp;'Assumptions &amp; Data'!$C$62)/SUMIFS('Financial Analysis'!$E$71:$E$790,'Financial Analysis'!$B$71:$B$790,$A107,'Financial Analysis'!$C$71:$C$790,"&gt;="&amp;'Assumptions &amp; Data'!$C$62)</f>
        <v>37.3268707503104</v>
      </c>
      <c r="K107" s="40" t="n">
        <f aca="false">SUMIFS('Financial Analysis'!$R$71:$R$790,'Financial Analysis'!$B$71:$B$790,$A107,'Financial Analysis'!$C$71:$C$790,"&gt;="&amp;'Assumptions &amp; Data'!$C$62)/AVERAGEIFS('Assumptions &amp; Data'!$M$205:$M$924,'Assumptions &amp; Data'!$B$205:$B$924,$A107,'Assumptions &amp; Data'!$C$205:$C$924,"&gt;="&amp;'Assumptions &amp; Data'!$C$62)/'Assumptions &amp; Data'!$C$85</f>
        <v>17.3330344643166</v>
      </c>
      <c r="L107" s="40" t="n">
        <f aca="false">E107/K107</f>
        <v>42.4246445480052</v>
      </c>
      <c r="M107" s="40" t="n">
        <f aca="false">SUMIFS('Financial Analysis'!$Q$71:$Q$790,'Financial Analysis'!$B$71:$B$790,$A107,'Financial Analysis'!$C$71:$C$790,"&gt;="&amp;'Assumptions &amp; Data'!$C$62)/SUMIFS('Financial Analysis'!$E$71:$E$790,'Financial Analysis'!$B$71:$B$790,$A107,'Financial Analysis'!$C$71:$C$790,"&gt;="&amp;'Assumptions &amp; Data'!$C$62)</f>
        <v>58.6533727026376</v>
      </c>
      <c r="N107" s="40" t="n">
        <f aca="false">SUMIFS('Financial Analysis'!$Y$71:$Y$790,'Financial Analysis'!$B$71:$B$790,$A107,'Financial Analysis'!$C$71:$C$790,"&gt;="&amp;'Assumptions &amp; Data'!$C$62)/'Assumptions &amp; Data'!$C$85/100000</f>
        <v>8.48068</v>
      </c>
      <c r="O107" s="40" t="n">
        <f aca="false">SUMIFS('Financial Analysis'!$V$71:$V$790,'Financial Analysis'!$B$71:$B$790,$A107,'Financial Analysis'!$C$71:$C$790,"&gt;="&amp;'Assumptions &amp; Data'!$C$62)/'Assumptions &amp; Data'!$C$85/100000</f>
        <v>4.74604656692946</v>
      </c>
      <c r="P107" s="49" t="n">
        <f aca="false">O107/F107</f>
        <v>0.0360281017955493</v>
      </c>
      <c r="Q107" s="39" t="n">
        <f aca="false">IF(M107&gt;0,N107*100000/(M107*'Assumptions &amp; Data'!$C$63/'Assumptions &amp; Data'!$C$85),9999)</f>
        <v>471.488510039325</v>
      </c>
      <c r="R107" s="49" t="n">
        <f aca="false">E107/Q107-1</f>
        <v>0.559630426679165</v>
      </c>
      <c r="S107" s="50" t="n">
        <f aca="false">'Assumptions &amp; Data'!E143</f>
        <v>38.3</v>
      </c>
      <c r="T107" s="50" t="n">
        <f aca="false">'Assumptions &amp; Data'!G143</f>
        <v>1</v>
      </c>
      <c r="U107" s="49" t="n">
        <f aca="false">MAX(0,('Assumptions &amp; Data'!$C$72-T107)/'Assumptions &amp; Data'!$C$72)*'Assumptions &amp; Data'!$C$73</f>
        <v>0.166666666666667</v>
      </c>
      <c r="V107" s="39" t="n">
        <f aca="false">S107*$B$6*(1-U107)</f>
        <v>1136.9203624101</v>
      </c>
      <c r="W107" s="49" t="n">
        <f aca="false">V107/E107-1</f>
        <v>0.546098760446536</v>
      </c>
      <c r="X107" s="39" t="n">
        <f aca="false">IF(D107&gt;='Assumptions &amp; Data'!$C$64,1,0)</f>
        <v>1</v>
      </c>
      <c r="Y107" s="40" t="str">
        <f aca="false">IF(AND(X107=1,T107&gt;='Assumptions &amp; Data'!$C$72),E107/S107,"")</f>
        <v/>
      </c>
      <c r="Z107" s="49" t="n">
        <f aca="false">IF(X107=1,H107,"")</f>
        <v>0.0750925684459027</v>
      </c>
      <c r="AA107" s="49" t="n">
        <f aca="false">IF(X107=1,I107,"")</f>
        <v>0.0200270912489146</v>
      </c>
      <c r="AB107" s="40" t="n">
        <f aca="false">IF(X107=1,J107,"")</f>
        <v>37.3268707503104</v>
      </c>
      <c r="AC107" s="40" t="n">
        <f aca="false">IF(X107=1,L107,"")</f>
        <v>42.4246445480052</v>
      </c>
      <c r="AD107" s="40" t="n">
        <f aca="false">IF(X107=1,AP107/E107*100,"")</f>
        <v>407.970200437533</v>
      </c>
      <c r="AE107" s="40" t="n">
        <f aca="false">IF(X107=1,M107,"")</f>
        <v>58.6533727026376</v>
      </c>
      <c r="AF107" s="40" t="n">
        <f aca="false">E107*'Assumptions &amp; Data'!$C$63/'Assumptions &amp; Data'!$C$85*G107/100000</f>
        <v>142.427006</v>
      </c>
      <c r="AG107" s="49" t="n">
        <f aca="false">MAX(0,H107-$B$7)</f>
        <v>0.020287468442646</v>
      </c>
      <c r="AH107" s="40" t="n">
        <f aca="false">AG107*AF107</f>
        <v>2.88948338960555</v>
      </c>
      <c r="AI107" s="40" t="n">
        <f aca="false">AG107*100*E107*'Assumptions &amp; Data'!$C$63/'Assumptions &amp; Data'!$C$85*M107/100000</f>
        <v>26.8336797826088</v>
      </c>
      <c r="AJ107" s="49" t="n">
        <f aca="false">MAX(0,I107-$B$8)</f>
        <v>0</v>
      </c>
      <c r="AK107" s="40" t="n">
        <f aca="false">AJ107*F107</f>
        <v>0</v>
      </c>
      <c r="AL107" s="40" t="n">
        <f aca="false">MAX(0,K107-E107/$B$10)</f>
        <v>0</v>
      </c>
      <c r="AM107" s="40" t="n">
        <f aca="false">AL107*BN107/K107</f>
        <v>0</v>
      </c>
      <c r="AN107" s="40" t="n">
        <f aca="false">MAX(0,J107-$B$9)</f>
        <v>0</v>
      </c>
      <c r="AO107" s="40" t="n">
        <f aca="false">AN107*E107*'Assumptions &amp; Data'!$C$63/'Assumptions &amp; Data'!$C$85/100000</f>
        <v>0</v>
      </c>
      <c r="AP107" s="37" t="n">
        <f aca="false">'Assumptions &amp; Data'!H143</f>
        <v>3000</v>
      </c>
      <c r="AQ107" s="39" t="n">
        <f aca="false">MIN(AP107,$B$11*E107/100)</f>
        <v>2825.47728041515</v>
      </c>
      <c r="AR107" s="39" t="n">
        <f aca="false">IF(AP107-AQ107&gt;'Assumptions &amp; Data'!$C$78*AP107,AP107-AQ107,0)</f>
        <v>0</v>
      </c>
      <c r="AS107" s="50" t="n">
        <f aca="false">'Assumptions &amp; Data'!I143</f>
        <v>86</v>
      </c>
      <c r="AT107" s="40" t="n">
        <f aca="false">INDEX('Assumptions &amp; Data'!$B$89:$E$94,MATCH(B107,'Assumptions &amp; Data'!$A$89:$A$94,0),MATCH(C107,'Assumptions &amp; Data'!$B$88:$E$88,0))</f>
        <v>100</v>
      </c>
      <c r="AU107" s="39" t="n">
        <f aca="false">IF(BY107&lt;='Assumptions &amp; Data'!$C$79,1,0)</f>
        <v>0</v>
      </c>
      <c r="AV107" s="40" t="n">
        <f aca="false">AU107*(AR107*AS107+MAX(0,AS107-AT107)*(AP107-AR107))/100000</f>
        <v>0</v>
      </c>
      <c r="AW107" s="40" t="n">
        <f aca="false">'Assumptions &amp; Data'!$C$67*(AH107-'Assumptions &amp; Data'!$C$68*AI107+AK107+AM107+AO107+AV107)</f>
        <v>1.57268795506767</v>
      </c>
      <c r="AX107" s="40" t="n">
        <f aca="false">O107+AW107</f>
        <v>6.31873452199714</v>
      </c>
      <c r="AY107" s="49" t="n">
        <f aca="false">IF(D107&lt;'Assumptions &amp; Data'!$C$64,'Assumptions &amp; Data'!$C$70,'Assumptions &amp; Data'!$C$69)</f>
        <v>0.5</v>
      </c>
      <c r="AZ107" s="40" t="n">
        <f aca="false">AY107*MAX(0,V107-E107)*'Assumptions &amp; Data'!$C$63/'Assumptions &amp; Data'!$C$85*(M107-'Assumptions &amp; Data'!$C$71)/100000</f>
        <v>2.99580493578724</v>
      </c>
      <c r="BA107" s="40" t="n">
        <f aca="false">AX107+AZ107</f>
        <v>9.31453945778437</v>
      </c>
      <c r="BB107" s="40" t="n">
        <f aca="false">BA107+(1-'Assumptions &amp; Data'!$C$67)*AV107</f>
        <v>9.31453945778437</v>
      </c>
      <c r="BC107" s="48" t="str">
        <f aca="false">'Assumptions &amp; Data'!F143</f>
        <v>DS008</v>
      </c>
      <c r="BD107" s="39" t="n">
        <f aca="false">INDEX('Assumptions &amp; Data'!$K$142:$K$201,MATCH(BC107,'Assumptions &amp; Data'!$A$142:$A$201,0))*'Assumptions &amp; Data'!$C$77</f>
        <v>1296</v>
      </c>
      <c r="BE107" s="39" t="n">
        <f aca="false">MAX(0,BD107-INDEX($E$106:$E$165,MATCH(BC107,$A$106:$A$165,0)))</f>
        <v>254.315217391304</v>
      </c>
      <c r="BF107" s="39" t="n">
        <f aca="false">IF(T107&lt;='Assumptions &amp; Data'!$C$74,MIN('Assumptions &amp; Data'!$C$76*E107,BE107),0)</f>
        <v>254.315217391304</v>
      </c>
      <c r="BG107" s="40" t="n">
        <f aca="false">-O107+BF107*'Assumptions &amp; Data'!$C$63/'Assumptions &amp; Data'!$C$85*($B$12-'Assumptions &amp; Data'!$C$71)/100000</f>
        <v>-0.477105354830882</v>
      </c>
      <c r="BH107" s="40" t="n">
        <f aca="false">(AS107*AP107*BY107*'Assumptions &amp; Data'!$C$82+K107*(BN107*100000/K107)*'Assumptions &amp; Data'!$C$80*(1-'Assumptions &amp; Data'!$C$81)+AP107*'Assumptions &amp; Data'!$C$83)/100000</f>
        <v>53.345739</v>
      </c>
      <c r="BI107" s="40" t="n">
        <f aca="false">'Assumptions &amp; Data'!L143*MAX(0,1-D107/'Assumptions &amp; Data'!$C$84)</f>
        <v>57.0714285714286</v>
      </c>
      <c r="BJ107" s="40" t="n">
        <f aca="false">IF(BG107&gt;0,BH107/BG107,99)</f>
        <v>99</v>
      </c>
      <c r="BK107" s="2" t="str">
        <f aca="false">IF(AND(P107&gt;='Assumptions &amp; Data'!$C$65,R107&gt;=0,W107&gt;='Assumptions &amp; Data'!$C$66),"Scale",IF(OR(O107&gt;=0,AX107&gt;=0),"Optimise",IF(BA107&gt;=0,"Turn around",IF(BB107&gt;=0,"Relocate or resize",IF(AND(BF107&gt;0,BJ107&lt;='Assumptions &amp; Data'!$C$75,D107&gt;='Assumptions &amp; Data'!$C$64),"Close","Relocate or resize")))))</f>
        <v>Scale</v>
      </c>
      <c r="BL107" s="42" t="str">
        <f aca="false">INDEX($BK$106:$BK$165,MATCH(BC107,$A$106:$A$165,0))</f>
        <v>Optimise</v>
      </c>
      <c r="BM107" s="42" t="str">
        <f aca="false">IF(RANK(P107,$P$106:$P$165)&lt;=ROUND(COUNT($P$106:$P$165)/4,0),"Q1 top",IF(RANK(P107,$P$106:$P$165)&gt;COUNT($P$106:$P$165)-ROUND(COUNT($P$106:$P$165)/4,0),"Q4 bottom","Q2-Q3 middle"))</f>
        <v>Q2-Q3 middle</v>
      </c>
      <c r="BN107" s="40" t="n">
        <f aca="false">SUMIFS('Financial Analysis'!$R$71:$R$790,'Financial Analysis'!$B$71:$B$790,$A107,'Financial Analysis'!$C$71:$C$790,"&gt;="&amp;'Assumptions &amp; Data'!$C$62)/'Assumptions &amp; Data'!$C$85/100000</f>
        <v>3.67304333333333</v>
      </c>
      <c r="BO107" s="40" t="n">
        <f aca="false">SUMIFS('Financial Analysis'!$H$71:$H$790,'Financial Analysis'!$B$71:$B$790,$A107,'Financial Analysis'!$C$71:$C$790,"&gt;="&amp;'Assumptions &amp; Data'!$C$62)/SUMIFS('Financial Analysis'!$E$71:$E$790,'Financial Analysis'!$B$71:$B$790,$A107,'Financial Analysis'!$C$71:$C$790,"&gt;="&amp;'Assumptions &amp; Data'!$C$62)</f>
        <v>584.159210237983</v>
      </c>
      <c r="BP107" s="40" t="n">
        <f aca="false">(SUMIFS('Financial Analysis'!$I$71:$I$790,'Financial Analysis'!$B$71:$B$790,$A107,'Financial Analysis'!$C$71:$C$790,"&gt;="&amp;'Assumptions &amp; Data'!$C$62)+SUMIFS('Financial Analysis'!$J$71:$J$790,'Financial Analysis'!$B$71:$B$790,$A107,'Financial Analysis'!$C$71:$C$790,"&gt;="&amp;'Assumptions &amp; Data'!$C$62)+SUMIFS('Financial Analysis'!$K$71:$K$790,'Financial Analysis'!$B$71:$B$790,$A107,'Financial Analysis'!$C$71:$C$790,"&gt;="&amp;'Assumptions &amp; Data'!$C$62))/SUMIFS('Financial Analysis'!$E$71:$E$790,'Financial Analysis'!$B$71:$B$790,$A107,'Financial Analysis'!$C$71:$C$790,"&gt;="&amp;'Assumptions &amp; Data'!$C$62)</f>
        <v>123.993827674868</v>
      </c>
      <c r="BQ107" s="40" t="n">
        <f aca="false">SUMIFS('Financial Analysis'!$L$71:$L$790,'Financial Analysis'!$B$71:$B$790,$A107,'Financial Analysis'!$C$71:$C$790,"&gt;="&amp;'Assumptions &amp; Data'!$C$62)/SUMIFS('Financial Analysis'!$E$71:$E$790,'Financial Analysis'!$B$71:$B$790,$A107,'Financial Analysis'!$C$71:$C$790,"&gt;="&amp;'Assumptions &amp; Data'!$C$62)</f>
        <v>11.69900980733</v>
      </c>
      <c r="BR107" s="40" t="n">
        <f aca="false">SUMIFS('Financial Analysis'!$L$71:$L$790,'Financial Analysis'!$B$71:$B$790,$A107,'Financial Analysis'!$C$71:$C$790,"&gt;="&amp;'Assumptions &amp; Data'!$C$62)/SUMIFS('Financial Analysis'!$E$71:$E$790,'Financial Analysis'!$B$71:$B$790,$A107,'Financial Analysis'!$C$71:$C$790,"&gt;="&amp;'Assumptions &amp; Data'!$C$62)</f>
        <v>11.69900980733</v>
      </c>
      <c r="BS107" s="40" t="n">
        <f aca="false">SUMIFS('Financial Analysis'!$N$71:$N$790,'Financial Analysis'!$B$71:$B$790,$A107,'Financial Analysis'!$C$71:$C$790,"&gt;="&amp;'Assumptions &amp; Data'!$C$62)/SUMIFS('Financial Analysis'!$E$71:$E$790,'Financial Analysis'!$B$71:$B$790,$A107,'Financial Analysis'!$C$71:$C$790,"&gt;="&amp;'Assumptions &amp; Data'!$C$62)</f>
        <v>37.3268707503104</v>
      </c>
      <c r="BT107" s="40" t="n">
        <f aca="false">(SUMIFS('Financial Analysis'!$O$71:$O$790,'Financial Analysis'!$B$71:$B$790,$A107,'Financial Analysis'!$C$71:$C$790,"&gt;="&amp;'Assumptions &amp; Data'!$C$62)+SUMIFS('Financial Analysis'!$P$71:$P$790,'Financial Analysis'!$B$71:$B$790,$A107,'Financial Analysis'!$C$71:$C$790,"&gt;="&amp;'Assumptions &amp; Data'!$C$62))/SUMIFS('Financial Analysis'!$E$71:$E$790,'Financial Analysis'!$B$71:$B$790,$A107,'Financial Analysis'!$C$71:$C$790,"&gt;="&amp;'Assumptions &amp; Data'!$C$62)</f>
        <v>16.3145744145903</v>
      </c>
      <c r="BU107" s="40" t="n">
        <f aca="false">SUMIFS('Financial Analysis'!$R$71:$R$790,'Financial Analysis'!$B$71:$B$790,$A107,'Financial Analysis'!$C$71:$C$790,"&gt;="&amp;'Assumptions &amp; Data'!$C$62)/SUMIFS('Financial Analysis'!$E$71:$E$790,'Financial Analysis'!$B$71:$B$790,$A107,'Financial Analysis'!$C$71:$C$790,"&gt;="&amp;'Assumptions &amp; Data'!$C$62)</f>
        <v>16.2879589664755</v>
      </c>
      <c r="BV107" s="40" t="n">
        <f aca="false">SUMIFS('Financial Analysis'!$S$71:$S$790,'Financial Analysis'!$B$71:$B$790,$A107,'Financial Analysis'!$C$71:$C$790,"&gt;="&amp;'Assumptions &amp; Data'!$C$62)/SUMIFS('Financial Analysis'!$E$71:$E$790,'Financial Analysis'!$B$71:$B$790,$A107,'Financial Analysis'!$C$71:$C$790,"&gt;="&amp;'Assumptions &amp; Data'!$C$62)</f>
        <v>11.4409034470526</v>
      </c>
      <c r="BW107" s="40" t="n">
        <f aca="false">(SUMIFS('Financial Analysis'!$T$71:$T$790,'Financial Analysis'!$B$71:$B$790,$A107,'Financial Analysis'!$C$71:$C$790,"&gt;="&amp;'Assumptions &amp; Data'!$C$62)+SUMIFS('Financial Analysis'!$U$71:$U$790,'Financial Analysis'!$B$71:$B$790,$A107,'Financial Analysis'!$C$71:$C$790,"&gt;="&amp;'Assumptions &amp; Data'!$C$62))/SUMIFS('Financial Analysis'!$E$71:$E$790,'Financial Analysis'!$B$71:$B$790,$A107,'Financial Analysis'!$C$71:$C$790,"&gt;="&amp;'Assumptions &amp; Data'!$C$62)</f>
        <v>9.87836279784781</v>
      </c>
      <c r="BX107" s="40" t="n">
        <f aca="false">SUMIFS('Financial Analysis'!$V$71:$V$790,'Financial Analysis'!$B$71:$B$790,$A107,'Financial Analysis'!$C$71:$C$790,"&gt;="&amp;'Assumptions &amp; Data'!$C$62)/SUMIFS('Financial Analysis'!$E$71:$E$790,'Financial Analysis'!$B$71:$B$790,$A107,'Financial Analysis'!$C$71:$C$790,"&gt;="&amp;'Assumptions &amp; Data'!$C$62)</f>
        <v>21.0461474912617</v>
      </c>
      <c r="BY107" s="37" t="n">
        <f aca="false">'Assumptions &amp; Data'!J143</f>
        <v>36</v>
      </c>
      <c r="BZ107" s="39" t="str">
        <f aca="false">IF(BK107="Close",COUNTIF($BK$106:BK107,"Close"),"")</f>
        <v/>
      </c>
    </row>
    <row r="108" customFormat="false" ht="15" hidden="false" customHeight="false" outlineLevel="0" collapsed="false">
      <c r="A108" s="48" t="str">
        <f aca="false">'Assumptions &amp; Data'!A144</f>
        <v>DS003</v>
      </c>
      <c r="B108" s="48" t="str">
        <f aca="false">'Assumptions &amp; Data'!B144</f>
        <v>Delhi NCR</v>
      </c>
      <c r="C108" s="48" t="str">
        <f aca="false">'Assumptions &amp; Data'!C144</f>
        <v>Mixed use</v>
      </c>
      <c r="D108" s="37" t="n">
        <f aca="false">'Assumptions &amp; Data'!D144</f>
        <v>23</v>
      </c>
      <c r="E108" s="39" t="n">
        <f aca="false">SUMIFS('Financial Analysis'!$E$71:$E$790,'Financial Analysis'!$B$71:$B$790,$A108,'Financial Analysis'!$C$71:$C$790,"&gt;="&amp;'Assumptions &amp; Data'!$C$62)/'Assumptions &amp; Data'!$C$63</f>
        <v>1240.45652173913</v>
      </c>
      <c r="F108" s="40" t="n">
        <f aca="false">SUMIFS('Financial Analysis'!$H$71:$H$790,'Financial Analysis'!$B$71:$B$790,$A108,'Financial Analysis'!$C$71:$C$790,"&gt;="&amp;'Assumptions &amp; Data'!$C$62)/'Assumptions &amp; Data'!$C$85/100000</f>
        <v>235.3116969431</v>
      </c>
      <c r="G108" s="40" t="n">
        <f aca="false">SUMIFS('Financial Analysis'!$F$71:$F$790,'Financial Analysis'!$B$71:$B$790,$A108,'Financial Analysis'!$C$71:$C$790,"&gt;="&amp;'Assumptions &amp; Data'!$C$62)/SUMIFS('Financial Analysis'!$E$71:$E$790,'Financial Analysis'!$B$71:$B$790,$A108,'Financial Analysis'!$C$71:$C$790,"&gt;="&amp;'Assumptions &amp; Data'!$C$62)</f>
        <v>653.485200925325</v>
      </c>
      <c r="H108" s="49" t="n">
        <f aca="false">SUMIFS('Financial Analysis'!$G$71:$G$790,'Financial Analysis'!$B$71:$B$790,$A108,'Financial Analysis'!$C$71:$C$790,"&gt;="&amp;'Assumptions &amp; Data'!$C$62)/SUMIFS('Financial Analysis'!$F$71:$F$790,'Financial Analysis'!$B$71:$B$790,$A108,'Financial Analysis'!$C$71:$C$790,"&gt;="&amp;'Assumptions &amp; Data'!$C$62)</f>
        <v>0.0534149534301497</v>
      </c>
      <c r="I108" s="49" t="n">
        <f aca="false">SUMIFS('Financial Analysis'!$L$71:$L$790,'Financial Analysis'!$B$71:$B$790,$A108,'Financial Analysis'!$C$71:$C$790,"&gt;="&amp;'Assumptions &amp; Data'!$C$62)/SUMIFS('Financial Analysis'!$H$71:$H$790,'Financial Analysis'!$B$71:$B$790,$A108,'Financial Analysis'!$C$71:$C$790,"&gt;="&amp;'Assumptions &amp; Data'!$C$62)</f>
        <v>0.021460003591661</v>
      </c>
      <c r="J108" s="40" t="n">
        <f aca="false">SUMIFS('Financial Analysis'!$N$71:$N$790,'Financial Analysis'!$B$71:$B$790,$A108,'Financial Analysis'!$C$71:$C$790,"&gt;="&amp;'Assumptions &amp; Data'!$C$62)/SUMIFS('Financial Analysis'!$E$71:$E$790,'Financial Analysis'!$B$71:$B$790,$A108,'Financial Analysis'!$C$71:$C$790,"&gt;="&amp;'Assumptions &amp; Data'!$C$62)</f>
        <v>37.7492986453094</v>
      </c>
      <c r="K108" s="40" t="n">
        <f aca="false">SUMIFS('Financial Analysis'!$R$71:$R$790,'Financial Analysis'!$B$71:$B$790,$A108,'Financial Analysis'!$C$71:$C$790,"&gt;="&amp;'Assumptions &amp; Data'!$C$62)/AVERAGEIFS('Assumptions &amp; Data'!$M$205:$M$924,'Assumptions &amp; Data'!$B$205:$B$924,$A108,'Assumptions &amp; Data'!$C$205:$C$924,"&gt;="&amp;'Assumptions &amp; Data'!$C$62)/'Assumptions &amp; Data'!$C$85</f>
        <v>40.0014943450836</v>
      </c>
      <c r="L108" s="40" t="n">
        <f aca="false">E108/K108</f>
        <v>31.0102545429428</v>
      </c>
      <c r="M108" s="40" t="n">
        <f aca="false">SUMIFS('Financial Analysis'!$Q$71:$Q$790,'Financial Analysis'!$B$71:$B$790,$A108,'Financial Analysis'!$C$71:$C$790,"&gt;="&amp;'Assumptions &amp; Data'!$C$62)/SUMIFS('Financial Analysis'!$E$71:$E$790,'Financial Analysis'!$B$71:$B$790,$A108,'Financial Analysis'!$C$71:$C$790,"&gt;="&amp;'Assumptions &amp; Data'!$C$62)</f>
        <v>68.2360915633395</v>
      </c>
      <c r="N108" s="40" t="n">
        <f aca="false">SUMIFS('Financial Analysis'!$Y$71:$Y$790,'Financial Analysis'!$B$71:$B$790,$A108,'Financial Analysis'!$C$71:$C$790,"&gt;="&amp;'Assumptions &amp; Data'!$C$62)/'Assumptions &amp; Data'!$C$85/100000</f>
        <v>18.2698866666667</v>
      </c>
      <c r="O108" s="40" t="n">
        <f aca="false">SUMIFS('Financial Analysis'!$V$71:$V$790,'Financial Analysis'!$B$71:$B$790,$A108,'Financial Analysis'!$C$71:$C$790,"&gt;="&amp;'Assumptions &amp; Data'!$C$62)/'Assumptions &amp; Data'!$C$85/100000</f>
        <v>7.68757747130475</v>
      </c>
      <c r="P108" s="49" t="n">
        <f aca="false">O108/F108</f>
        <v>0.0326697634294128</v>
      </c>
      <c r="Q108" s="39" t="n">
        <f aca="false">IF(M108&gt;0,N108*100000/(M108*'Assumptions &amp; Data'!$C$63/'Assumptions &amp; Data'!$C$85),9999)</f>
        <v>873.082206591563</v>
      </c>
      <c r="R108" s="49" t="n">
        <f aca="false">E108/Q108-1</f>
        <v>0.420778607528568</v>
      </c>
      <c r="S108" s="50" t="n">
        <f aca="false">'Assumptions &amp; Data'!E144</f>
        <v>49.3</v>
      </c>
      <c r="T108" s="50" t="n">
        <f aca="false">'Assumptions &amp; Data'!G144</f>
        <v>1.1</v>
      </c>
      <c r="U108" s="49" t="n">
        <f aca="false">MAX(0,('Assumptions &amp; Data'!$C$72-T108)/'Assumptions &amp; Data'!$C$72)*'Assumptions &amp; Data'!$C$73</f>
        <v>0.133333333333333</v>
      </c>
      <c r="V108" s="39" t="n">
        <f aca="false">S108*$B$6*(1-U108)</f>
        <v>1521.9890553914</v>
      </c>
      <c r="W108" s="49" t="n">
        <f aca="false">V108/E108-1</f>
        <v>0.226958808082654</v>
      </c>
      <c r="X108" s="39" t="n">
        <f aca="false">IF(D108&gt;='Assumptions &amp; Data'!$C$64,1,0)</f>
        <v>1</v>
      </c>
      <c r="Y108" s="40" t="str">
        <f aca="false">IF(AND(X108=1,T108&gt;='Assumptions &amp; Data'!$C$72),E108/S108,"")</f>
        <v/>
      </c>
      <c r="Z108" s="49" t="n">
        <f aca="false">IF(X108=1,H108,"")</f>
        <v>0.0534149534301497</v>
      </c>
      <c r="AA108" s="49" t="n">
        <f aca="false">IF(X108=1,I108,"")</f>
        <v>0.021460003591661</v>
      </c>
      <c r="AB108" s="40" t="n">
        <f aca="false">IF(X108=1,J108,"")</f>
        <v>37.7492986453094</v>
      </c>
      <c r="AC108" s="40" t="n">
        <f aca="false">IF(X108=1,L108,"")</f>
        <v>31.0102545429428</v>
      </c>
      <c r="AD108" s="40" t="n">
        <f aca="false">IF(X108=1,AP108/E108*100,"")</f>
        <v>282.154185871261</v>
      </c>
      <c r="AE108" s="40" t="n">
        <f aca="false">IF(X108=1,M108,"")</f>
        <v>68.2360915633395</v>
      </c>
      <c r="AF108" s="40" t="n">
        <f aca="false">E108*'Assumptions &amp; Data'!$C$63/'Assumptions &amp; Data'!$C$85*G108/100000</f>
        <v>248.590127</v>
      </c>
      <c r="AG108" s="49" t="n">
        <f aca="false">MAX(0,H108-$B$7)</f>
        <v>0</v>
      </c>
      <c r="AH108" s="40" t="n">
        <f aca="false">AG108*AF108</f>
        <v>0</v>
      </c>
      <c r="AI108" s="40" t="n">
        <f aca="false">AG108*100*E108*'Assumptions &amp; Data'!$C$63/'Assumptions &amp; Data'!$C$85*M108/100000</f>
        <v>0</v>
      </c>
      <c r="AJ108" s="49" t="n">
        <f aca="false">MAX(0,I108-$B$8)</f>
        <v>5.54098813738552E-005</v>
      </c>
      <c r="AK108" s="40" t="n">
        <f aca="false">AJ108*F108</f>
        <v>0.0130385932134977</v>
      </c>
      <c r="AL108" s="40" t="n">
        <f aca="false">MAX(0,K108-E108/$B$10)</f>
        <v>7.50163212556399</v>
      </c>
      <c r="AM108" s="40" t="n">
        <f aca="false">AL108*BN108/K108</f>
        <v>1.58967086372827</v>
      </c>
      <c r="AN108" s="40" t="n">
        <f aca="false">MAX(0,J108-$B$9)</f>
        <v>0</v>
      </c>
      <c r="AO108" s="40" t="n">
        <f aca="false">AN108*E108*'Assumptions &amp; Data'!$C$63/'Assumptions &amp; Data'!$C$85/100000</f>
        <v>0</v>
      </c>
      <c r="AP108" s="37" t="n">
        <f aca="false">'Assumptions &amp; Data'!H144</f>
        <v>3500</v>
      </c>
      <c r="AQ108" s="39" t="n">
        <f aca="false">MIN(AP108,$B$11*E108/100)</f>
        <v>3500</v>
      </c>
      <c r="AR108" s="39" t="n">
        <f aca="false">IF(AP108-AQ108&gt;'Assumptions &amp; Data'!$C$78*AP108,AP108-AQ108,0)</f>
        <v>0</v>
      </c>
      <c r="AS108" s="50" t="n">
        <f aca="false">'Assumptions &amp; Data'!I144</f>
        <v>179</v>
      </c>
      <c r="AT108" s="40" t="n">
        <f aca="false">INDEX('Assumptions &amp; Data'!$B$89:$E$94,MATCH(B108,'Assumptions &amp; Data'!$A$89:$A$94,0),MATCH(C108,'Assumptions &amp; Data'!$B$88:$E$88,0))</f>
        <v>157</v>
      </c>
      <c r="AU108" s="39" t="n">
        <f aca="false">IF(BY108&lt;='Assumptions &amp; Data'!$C$79,1,0)</f>
        <v>1</v>
      </c>
      <c r="AV108" s="40" t="n">
        <f aca="false">AU108*(AR108*AS108+MAX(0,AS108-AT108)*(AP108-AR108))/100000</f>
        <v>0.77</v>
      </c>
      <c r="AW108" s="40" t="n">
        <f aca="false">'Assumptions &amp; Data'!$C$67*(AH108-'Assumptions &amp; Data'!$C$68*AI108+AK108+AM108+AO108+AV108)</f>
        <v>1.42362567416506</v>
      </c>
      <c r="AX108" s="40" t="n">
        <f aca="false">O108+AW108</f>
        <v>9.11120314546981</v>
      </c>
      <c r="AY108" s="49" t="n">
        <f aca="false">IF(D108&lt;'Assumptions &amp; Data'!$C$64,'Assumptions &amp; Data'!$C$70,'Assumptions &amp; Data'!$C$69)</f>
        <v>0.5</v>
      </c>
      <c r="AZ108" s="40" t="n">
        <f aca="false">AY108*MAX(0,V108-E108)*'Assumptions &amp; Data'!$C$63/'Assumptions &amp; Data'!$C$85*(M108-'Assumptions &amp; Data'!$C$71)/100000</f>
        <v>2.5139543425343</v>
      </c>
      <c r="BA108" s="40" t="n">
        <f aca="false">AX108+AZ108</f>
        <v>11.6251574880041</v>
      </c>
      <c r="BB108" s="40" t="n">
        <f aca="false">BA108+(1-'Assumptions &amp; Data'!$C$67)*AV108</f>
        <v>11.9331574880041</v>
      </c>
      <c r="BC108" s="48" t="str">
        <f aca="false">'Assumptions &amp; Data'!F144</f>
        <v>DS013</v>
      </c>
      <c r="BD108" s="39" t="n">
        <f aca="false">INDEX('Assumptions &amp; Data'!$K$142:$K$201,MATCH(BC108,'Assumptions &amp; Data'!$A$142:$A$201,0))*'Assumptions &amp; Data'!$C$77</f>
        <v>1296</v>
      </c>
      <c r="BE108" s="39" t="n">
        <f aca="false">MAX(0,BD108-INDEX($E$106:$E$165,MATCH(BC108,$A$106:$A$165,0)))</f>
        <v>393.402173913044</v>
      </c>
      <c r="BF108" s="39" t="n">
        <f aca="false">IF(T108&lt;='Assumptions &amp; Data'!$C$74,MIN('Assumptions &amp; Data'!$C$76*E108,BE108),0)</f>
        <v>393.402173913044</v>
      </c>
      <c r="BG108" s="40" t="n">
        <f aca="false">-O108+BF108*'Assumptions &amp; Data'!$C$63/'Assumptions &amp; Data'!$C$85*($B$12-'Assumptions &amp; Data'!$C$71)/100000</f>
        <v>-1.08391934036985</v>
      </c>
      <c r="BH108" s="40" t="n">
        <f aca="false">(AS108*AP108*BY108*'Assumptions &amp; Data'!$C$82+K108*(BN108*100000/K108)*'Assumptions &amp; Data'!$C$80*(1-'Assumptions &amp; Data'!$C$81)+AP108*'Assumptions &amp; Data'!$C$83)/100000</f>
        <v>21.226545</v>
      </c>
      <c r="BI108" s="40" t="n">
        <f aca="false">'Assumptions &amp; Data'!L144*MAX(0,1-D108/'Assumptions &amp; Data'!$C$84)</f>
        <v>86.4166666666667</v>
      </c>
      <c r="BJ108" s="40" t="n">
        <f aca="false">IF(BG108&gt;0,BH108/BG108,99)</f>
        <v>99</v>
      </c>
      <c r="BK108" s="2" t="str">
        <f aca="false">IF(AND(P108&gt;='Assumptions &amp; Data'!$C$65,R108&gt;=0,W108&gt;='Assumptions &amp; Data'!$C$66),"Scale",IF(OR(O108&gt;=0,AX108&gt;=0),"Optimise",IF(BA108&gt;=0,"Turn around",IF(BB108&gt;=0,"Relocate or resize",IF(AND(BF108&gt;0,BJ108&lt;='Assumptions &amp; Data'!$C$75,D108&gt;='Assumptions &amp; Data'!$C$64),"Close","Relocate or resize")))))</f>
        <v>Scale</v>
      </c>
      <c r="BL108" s="42" t="str">
        <f aca="false">INDEX($BK$106:$BK$165,MATCH(BC108,$A$106:$A$165,0))</f>
        <v>Optimise</v>
      </c>
      <c r="BM108" s="42" t="str">
        <f aca="false">IF(RANK(P108,$P$106:$P$165)&lt;=ROUND(COUNT($P$106:$P$165)/4,0),"Q1 top",IF(RANK(P108,$P$106:$P$165)&gt;COUNT($P$106:$P$165)-ROUND(COUNT($P$106:$P$165)/4,0),"Q4 bottom","Q2-Q3 middle"))</f>
        <v>Q2-Q3 middle</v>
      </c>
      <c r="BN108" s="40" t="n">
        <f aca="false">SUMIFS('Financial Analysis'!$R$71:$R$790,'Financial Analysis'!$B$71:$B$790,$A108,'Financial Analysis'!$C$71:$C$790,"&gt;="&amp;'Assumptions &amp; Data'!$C$62)/'Assumptions &amp; Data'!$C$85/100000</f>
        <v>8.47671666666667</v>
      </c>
      <c r="BO108" s="40" t="n">
        <f aca="false">SUMIFS('Financial Analysis'!$H$71:$H$790,'Financial Analysis'!$B$71:$B$790,$A108,'Financial Analysis'!$C$71:$C$790,"&gt;="&amp;'Assumptions &amp; Data'!$C$62)/SUMIFS('Financial Analysis'!$E$71:$E$790,'Financial Analysis'!$B$71:$B$790,$A108,'Financial Analysis'!$C$71:$C$790,"&gt;="&amp;'Assumptions &amp; Data'!$C$62)</f>
        <v>618.579319350607</v>
      </c>
      <c r="BP108" s="40" t="n">
        <f aca="false">(SUMIFS('Financial Analysis'!$I$71:$I$790,'Financial Analysis'!$B$71:$B$790,$A108,'Financial Analysis'!$C$71:$C$790,"&gt;="&amp;'Assumptions &amp; Data'!$C$62)+SUMIFS('Financial Analysis'!$J$71:$J$790,'Financial Analysis'!$B$71:$B$790,$A108,'Financial Analysis'!$C$71:$C$790,"&gt;="&amp;'Assumptions &amp; Data'!$C$62)+SUMIFS('Financial Analysis'!$K$71:$K$790,'Financial Analysis'!$B$71:$B$790,$A108,'Financial Analysis'!$C$71:$C$790,"&gt;="&amp;'Assumptions &amp; Data'!$C$62))/SUMIFS('Financial Analysis'!$E$71:$E$790,'Financial Analysis'!$B$71:$B$790,$A108,'Financial Analysis'!$C$71:$C$790,"&gt;="&amp;'Assumptions &amp; Data'!$C$62)</f>
        <v>135.934273306555</v>
      </c>
      <c r="BQ108" s="40" t="n">
        <f aca="false">SUMIFS('Financial Analysis'!$L$71:$L$790,'Financial Analysis'!$B$71:$B$790,$A108,'Financial Analysis'!$C$71:$C$790,"&gt;="&amp;'Assumptions &amp; Data'!$C$62)/SUMIFS('Financial Analysis'!$E$71:$E$790,'Financial Analysis'!$B$71:$B$790,$A108,'Financial Analysis'!$C$71:$C$790,"&gt;="&amp;'Assumptions &amp; Data'!$C$62)</f>
        <v>13.2747144149912</v>
      </c>
      <c r="BR108" s="40" t="n">
        <f aca="false">SUMIFS('Financial Analysis'!$L$71:$L$790,'Financial Analysis'!$B$71:$B$790,$A108,'Financial Analysis'!$C$71:$C$790,"&gt;="&amp;'Assumptions &amp; Data'!$C$62)/SUMIFS('Financial Analysis'!$E$71:$E$790,'Financial Analysis'!$B$71:$B$790,$A108,'Financial Analysis'!$C$71:$C$790,"&gt;="&amp;'Assumptions &amp; Data'!$C$62)</f>
        <v>13.2747144149912</v>
      </c>
      <c r="BS108" s="40" t="n">
        <f aca="false">SUMIFS('Financial Analysis'!$N$71:$N$790,'Financial Analysis'!$B$71:$B$790,$A108,'Financial Analysis'!$C$71:$C$790,"&gt;="&amp;'Assumptions &amp; Data'!$C$62)/SUMIFS('Financial Analysis'!$E$71:$E$790,'Financial Analysis'!$B$71:$B$790,$A108,'Financial Analysis'!$C$71:$C$790,"&gt;="&amp;'Assumptions &amp; Data'!$C$62)</f>
        <v>37.7492986453094</v>
      </c>
      <c r="BT108" s="40" t="n">
        <f aca="false">(SUMIFS('Financial Analysis'!$O$71:$O$790,'Financial Analysis'!$B$71:$B$790,$A108,'Financial Analysis'!$C$71:$C$790,"&gt;="&amp;'Assumptions &amp; Data'!$C$62)+SUMIFS('Financial Analysis'!$P$71:$P$790,'Financial Analysis'!$B$71:$B$790,$A108,'Financial Analysis'!$C$71:$C$790,"&gt;="&amp;'Assumptions &amp; Data'!$C$62))/SUMIFS('Financial Analysis'!$E$71:$E$790,'Financial Analysis'!$B$71:$B$790,$A108,'Financial Analysis'!$C$71:$C$790,"&gt;="&amp;'Assumptions &amp; Data'!$C$62)</f>
        <v>16.6741686829152</v>
      </c>
      <c r="BU108" s="40" t="n">
        <f aca="false">SUMIFS('Financial Analysis'!$R$71:$R$790,'Financial Analysis'!$B$71:$B$790,$A108,'Financial Analysis'!$C$71:$C$790,"&gt;="&amp;'Assumptions &amp; Data'!$C$62)/SUMIFS('Financial Analysis'!$E$71:$E$790,'Financial Analysis'!$B$71:$B$790,$A108,'Financial Analysis'!$C$71:$C$790,"&gt;="&amp;'Assumptions &amp; Data'!$C$62)</f>
        <v>22.2833020802299</v>
      </c>
      <c r="BV108" s="40" t="n">
        <f aca="false">SUMIFS('Financial Analysis'!$S$71:$S$790,'Financial Analysis'!$B$71:$B$790,$A108,'Financial Analysis'!$C$71:$C$790,"&gt;="&amp;'Assumptions &amp; Data'!$C$62)/SUMIFS('Financial Analysis'!$E$71:$E$790,'Financial Analysis'!$B$71:$B$790,$A108,'Financial Analysis'!$C$71:$C$790,"&gt;="&amp;'Assumptions &amp; Data'!$C$62)</f>
        <v>16.4692171535725</v>
      </c>
      <c r="BW108" s="40" t="n">
        <f aca="false">(SUMIFS('Financial Analysis'!$T$71:$T$790,'Financial Analysis'!$B$71:$B$790,$A108,'Financial Analysis'!$C$71:$C$790,"&gt;="&amp;'Assumptions &amp; Data'!$C$62)+SUMIFS('Financial Analysis'!$U$71:$U$790,'Financial Analysis'!$B$71:$B$790,$A108,'Financial Analysis'!$C$71:$C$790,"&gt;="&amp;'Assumptions &amp; Data'!$C$62))/SUMIFS('Financial Analysis'!$E$71:$E$790,'Financial Analysis'!$B$71:$B$790,$A108,'Financial Analysis'!$C$71:$C$790,"&gt;="&amp;'Assumptions &amp; Data'!$C$62)</f>
        <v>9.27473230402552</v>
      </c>
      <c r="BX108" s="40" t="n">
        <f aca="false">SUMIFS('Financial Analysis'!$V$71:$V$790,'Financial Analysis'!$B$71:$B$790,$A108,'Financial Analysis'!$C$71:$C$790,"&gt;="&amp;'Assumptions &amp; Data'!$C$62)/SUMIFS('Financial Analysis'!$E$71:$E$790,'Financial Analysis'!$B$71:$B$790,$A108,'Financial Analysis'!$C$71:$C$790,"&gt;="&amp;'Assumptions &amp; Data'!$C$62)</f>
        <v>20.2088400255115</v>
      </c>
      <c r="BY108" s="37" t="n">
        <f aca="false">'Assumptions &amp; Data'!J144</f>
        <v>3</v>
      </c>
      <c r="BZ108" s="39" t="str">
        <f aca="false">IF(BK108="Close",COUNTIF($BK$106:BK108,"Close"),"")</f>
        <v/>
      </c>
    </row>
    <row r="109" customFormat="false" ht="15" hidden="false" customHeight="false" outlineLevel="0" collapsed="false">
      <c r="A109" s="48" t="str">
        <f aca="false">'Assumptions &amp; Data'!A145</f>
        <v>DS004</v>
      </c>
      <c r="B109" s="48" t="str">
        <f aca="false">'Assumptions &amp; Data'!B145</f>
        <v>Delhi NCR</v>
      </c>
      <c r="C109" s="48" t="str">
        <f aca="false">'Assumptions &amp; Data'!C145</f>
        <v>Peripheral / emerging</v>
      </c>
      <c r="D109" s="37" t="n">
        <f aca="false">'Assumptions &amp; Data'!D145</f>
        <v>17</v>
      </c>
      <c r="E109" s="39" t="n">
        <f aca="false">SUMIFS('Financial Analysis'!$E$71:$E$790,'Financial Analysis'!$B$71:$B$790,$A109,'Financial Analysis'!$C$71:$C$790,"&gt;="&amp;'Assumptions &amp; Data'!$C$62)/'Assumptions &amp; Data'!$C$63</f>
        <v>1047.0652173913</v>
      </c>
      <c r="F109" s="40" t="n">
        <f aca="false">SUMIFS('Financial Analysis'!$H$71:$H$790,'Financial Analysis'!$B$71:$B$790,$A109,'Financial Analysis'!$C$71:$C$790,"&gt;="&amp;'Assumptions &amp; Data'!$C$62)/'Assumptions &amp; Data'!$C$85/100000</f>
        <v>189.304873837533</v>
      </c>
      <c r="G109" s="40" t="n">
        <f aca="false">SUMIFS('Financial Analysis'!$F$71:$F$790,'Financial Analysis'!$B$71:$B$790,$A109,'Financial Analysis'!$C$71:$C$790,"&gt;="&amp;'Assumptions &amp; Data'!$C$62)/SUMIFS('Financial Analysis'!$E$71:$E$790,'Financial Analysis'!$B$71:$B$790,$A109,'Financial Analysis'!$C$71:$C$790,"&gt;="&amp;'Assumptions &amp; Data'!$C$62)</f>
        <v>624.438667081906</v>
      </c>
      <c r="H109" s="49" t="n">
        <f aca="false">SUMIFS('Financial Analysis'!$G$71:$G$790,'Financial Analysis'!$B$71:$B$790,$A109,'Financial Analysis'!$C$71:$C$790,"&gt;="&amp;'Assumptions &amp; Data'!$C$62)/SUMIFS('Financial Analysis'!$F$71:$F$790,'Financial Analysis'!$B$71:$B$790,$A109,'Financial Analysis'!$C$71:$C$790,"&gt;="&amp;'Assumptions &amp; Data'!$C$62)</f>
        <v>0.0558702083203745</v>
      </c>
      <c r="I109" s="49" t="n">
        <f aca="false">SUMIFS('Financial Analysis'!$L$71:$L$790,'Financial Analysis'!$B$71:$B$790,$A109,'Financial Analysis'!$C$71:$C$790,"&gt;="&amp;'Assumptions &amp; Data'!$C$62)/SUMIFS('Financial Analysis'!$H$71:$H$790,'Financial Analysis'!$B$71:$B$790,$A109,'Financial Analysis'!$C$71:$C$790,"&gt;="&amp;'Assumptions &amp; Data'!$C$62)</f>
        <v>0.0178819076449744</v>
      </c>
      <c r="J109" s="40" t="n">
        <f aca="false">SUMIFS('Financial Analysis'!$N$71:$N$790,'Financial Analysis'!$B$71:$B$790,$A109,'Financial Analysis'!$C$71:$C$790,"&gt;="&amp;'Assumptions &amp; Data'!$C$62)/SUMIFS('Financial Analysis'!$E$71:$E$790,'Financial Analysis'!$B$71:$B$790,$A109,'Financial Analysis'!$C$71:$C$790,"&gt;="&amp;'Assumptions &amp; Data'!$C$62)</f>
        <v>34.4138883006332</v>
      </c>
      <c r="K109" s="40" t="n">
        <f aca="false">SUMIFS('Financial Analysis'!$R$71:$R$790,'Financial Analysis'!$B$71:$B$790,$A109,'Financial Analysis'!$C$71:$C$790,"&gt;="&amp;'Assumptions &amp; Data'!$C$62)/AVERAGEIFS('Assumptions &amp; Data'!$M$205:$M$924,'Assumptions &amp; Data'!$B$205:$B$924,$A109,'Assumptions &amp; Data'!$C$205:$C$924,"&gt;="&amp;'Assumptions &amp; Data'!$C$62)/'Assumptions &amp; Data'!$C$85</f>
        <v>22.0011954760669</v>
      </c>
      <c r="L109" s="40" t="n">
        <f aca="false">E109/K109</f>
        <v>47.5912874157367</v>
      </c>
      <c r="M109" s="40" t="n">
        <f aca="false">SUMIFS('Financial Analysis'!$Q$71:$Q$790,'Financial Analysis'!$B$71:$B$790,$A109,'Financial Analysis'!$C$71:$C$790,"&gt;="&amp;'Assumptions &amp; Data'!$C$62)/SUMIFS('Financial Analysis'!$E$71:$E$790,'Financial Analysis'!$B$71:$B$790,$A109,'Financial Analysis'!$C$71:$C$790,"&gt;="&amp;'Assumptions &amp; Data'!$C$62)</f>
        <v>67.6391416202317</v>
      </c>
      <c r="N109" s="40" t="n">
        <f aca="false">SUMIFS('Financial Analysis'!$Y$71:$Y$790,'Financial Analysis'!$B$71:$B$790,$A109,'Financial Analysis'!$C$71:$C$790,"&gt;="&amp;'Assumptions &amp; Data'!$C$62)/'Assumptions &amp; Data'!$C$85/100000</f>
        <v>11.53207</v>
      </c>
      <c r="O109" s="40" t="n">
        <f aca="false">SUMIFS('Financial Analysis'!$V$71:$V$790,'Financial Analysis'!$B$71:$B$790,$A109,'Financial Analysis'!$C$71:$C$790,"&gt;="&amp;'Assumptions &amp; Data'!$C$62)/'Assumptions &amp; Data'!$C$85/100000</f>
        <v>10.1868583742564</v>
      </c>
      <c r="P109" s="49" t="n">
        <f aca="false">O109/F109</f>
        <v>0.0538119181389859</v>
      </c>
      <c r="Q109" s="39" t="n">
        <f aca="false">IF(M109&gt;0,N109*100000/(M109*'Assumptions &amp; Data'!$C$63/'Assumptions &amp; Data'!$C$85),9999)</f>
        <v>555.958801164155</v>
      </c>
      <c r="R109" s="49" t="n">
        <f aca="false">E109/Q109-1</f>
        <v>0.883350376320677</v>
      </c>
      <c r="S109" s="50" t="n">
        <f aca="false">'Assumptions &amp; Data'!E145</f>
        <v>61.4</v>
      </c>
      <c r="T109" s="50" t="n">
        <f aca="false">'Assumptions &amp; Data'!G145</f>
        <v>1.2</v>
      </c>
      <c r="U109" s="49" t="n">
        <f aca="false">MAX(0,('Assumptions &amp; Data'!$C$72-T109)/'Assumptions &amp; Data'!$C$72)*'Assumptions &amp; Data'!$C$73</f>
        <v>0.1</v>
      </c>
      <c r="V109" s="39" t="n">
        <f aca="false">S109*$B$6*(1-U109)</f>
        <v>1968.44551102189</v>
      </c>
      <c r="W109" s="49" t="n">
        <f aca="false">V109/E109-1</f>
        <v>0.879964569853773</v>
      </c>
      <c r="X109" s="39" t="n">
        <f aca="false">IF(D109&gt;='Assumptions &amp; Data'!$C$64,1,0)</f>
        <v>1</v>
      </c>
      <c r="Y109" s="40" t="str">
        <f aca="false">IF(AND(X109=1,T109&gt;='Assumptions &amp; Data'!$C$72),E109/S109,"")</f>
        <v/>
      </c>
      <c r="Z109" s="49" t="n">
        <f aca="false">IF(X109=1,H109,"")</f>
        <v>0.0558702083203745</v>
      </c>
      <c r="AA109" s="49" t="n">
        <f aca="false">IF(X109=1,I109,"")</f>
        <v>0.0178819076449744</v>
      </c>
      <c r="AB109" s="40" t="n">
        <f aca="false">IF(X109=1,J109,"")</f>
        <v>34.4138883006332</v>
      </c>
      <c r="AC109" s="40" t="n">
        <f aca="false">IF(X109=1,L109,"")</f>
        <v>47.5912874157367</v>
      </c>
      <c r="AD109" s="40" t="n">
        <f aca="false">IF(X109=1,AP109/E109*100,"")</f>
        <v>334.267621717014</v>
      </c>
      <c r="AE109" s="40" t="n">
        <f aca="false">IF(X109=1,M109,"")</f>
        <v>67.6391416202317</v>
      </c>
      <c r="AF109" s="40" t="n">
        <f aca="false">E109*'Assumptions &amp; Data'!$C$63/'Assumptions &amp; Data'!$C$85*G109/100000</f>
        <v>200.507256</v>
      </c>
      <c r="AG109" s="49" t="n">
        <f aca="false">MAX(0,H109-$B$7)</f>
        <v>0.00106510831711774</v>
      </c>
      <c r="AH109" s="40" t="n">
        <f aca="false">AG109*AF109</f>
        <v>0.213561946008057</v>
      </c>
      <c r="AI109" s="40" t="n">
        <f aca="false">AG109*100*E109*'Assumptions &amp; Data'!$C$63/'Assumptions &amp; Data'!$C$85*M109/100000</f>
        <v>2.3133011250305</v>
      </c>
      <c r="AJ109" s="49" t="n">
        <f aca="false">MAX(0,I109-$B$8)</f>
        <v>0</v>
      </c>
      <c r="AK109" s="40" t="n">
        <f aca="false">AJ109*F109</f>
        <v>0</v>
      </c>
      <c r="AL109" s="40" t="n">
        <f aca="false">MAX(0,K109-E109/$B$10)</f>
        <v>0</v>
      </c>
      <c r="AM109" s="40" t="n">
        <f aca="false">AL109*BN109/K109</f>
        <v>0</v>
      </c>
      <c r="AN109" s="40" t="n">
        <f aca="false">MAX(0,J109-$B$9)</f>
        <v>0</v>
      </c>
      <c r="AO109" s="40" t="n">
        <f aca="false">AN109*E109*'Assumptions &amp; Data'!$C$63/'Assumptions &amp; Data'!$C$85/100000</f>
        <v>0</v>
      </c>
      <c r="AP109" s="37" t="n">
        <f aca="false">'Assumptions &amp; Data'!H145</f>
        <v>3500</v>
      </c>
      <c r="AQ109" s="39" t="n">
        <f aca="false">MIN(AP109,$B$11*E109/100)</f>
        <v>3500</v>
      </c>
      <c r="AR109" s="39" t="n">
        <f aca="false">IF(AP109-AQ109&gt;'Assumptions &amp; Data'!$C$78*AP109,AP109-AQ109,0)</f>
        <v>0</v>
      </c>
      <c r="AS109" s="50" t="n">
        <f aca="false">'Assumptions &amp; Data'!I145</f>
        <v>96</v>
      </c>
      <c r="AT109" s="40" t="n">
        <f aca="false">INDEX('Assumptions &amp; Data'!$B$89:$E$94,MATCH(B109,'Assumptions &amp; Data'!$A$89:$A$94,0),MATCH(C109,'Assumptions &amp; Data'!$B$88:$E$88,0))</f>
        <v>100</v>
      </c>
      <c r="AU109" s="39" t="n">
        <f aca="false">IF(BY109&lt;='Assumptions &amp; Data'!$C$79,1,0)</f>
        <v>0</v>
      </c>
      <c r="AV109" s="40" t="n">
        <f aca="false">AU109*(AR109*AS109+MAX(0,AS109-AT109)*(AP109-AR109))/100000</f>
        <v>0</v>
      </c>
      <c r="AW109" s="40" t="n">
        <f aca="false">'Assumptions &amp; Data'!$C$67*(AH109-'Assumptions &amp; Data'!$C$68*AI109+AK109+AM109+AO109+AV109)</f>
        <v>0.114257360854651</v>
      </c>
      <c r="AX109" s="40" t="n">
        <f aca="false">O109+AW109</f>
        <v>10.301115735111</v>
      </c>
      <c r="AY109" s="49" t="n">
        <f aca="false">IF(D109&lt;'Assumptions &amp; Data'!$C$64,'Assumptions &amp; Data'!$C$70,'Assumptions &amp; Data'!$C$69)</f>
        <v>0.5</v>
      </c>
      <c r="AZ109" s="40" t="n">
        <f aca="false">AY109*MAX(0,V109-E109)*'Assumptions &amp; Data'!$C$63/'Assumptions &amp; Data'!$C$85*(M109-'Assumptions &amp; Data'!$C$71)/100000</f>
        <v>8.14316061536848</v>
      </c>
      <c r="BA109" s="40" t="n">
        <f aca="false">AX109+AZ109</f>
        <v>18.4442763504795</v>
      </c>
      <c r="BB109" s="40" t="n">
        <f aca="false">BA109+(1-'Assumptions &amp; Data'!$C$67)*AV109</f>
        <v>18.4442763504795</v>
      </c>
      <c r="BC109" s="48" t="str">
        <f aca="false">'Assumptions &amp; Data'!F145</f>
        <v>DS012</v>
      </c>
      <c r="BD109" s="39" t="n">
        <f aca="false">INDEX('Assumptions &amp; Data'!$K$142:$K$201,MATCH(BC109,'Assumptions &amp; Data'!$A$142:$A$201,0))*'Assumptions &amp; Data'!$C$77</f>
        <v>1134</v>
      </c>
      <c r="BE109" s="39" t="n">
        <f aca="false">MAX(0,BD109-INDEX($E$106:$E$165,MATCH(BC109,$A$106:$A$165,0)))</f>
        <v>0</v>
      </c>
      <c r="BF109" s="39" t="n">
        <f aca="false">IF(T109&lt;='Assumptions &amp; Data'!$C$74,MIN('Assumptions &amp; Data'!$C$76*E109,BE109),0)</f>
        <v>0</v>
      </c>
      <c r="BG109" s="40" t="n">
        <f aca="false">-O109+BF109*'Assumptions &amp; Data'!$C$63/'Assumptions &amp; Data'!$C$85*($B$12-'Assumptions &amp; Data'!$C$71)/100000</f>
        <v>-10.1868583742564</v>
      </c>
      <c r="BH109" s="40" t="n">
        <f aca="false">(AS109*AP109*BY109*'Assumptions &amp; Data'!$C$82+K109*(BN109*100000/K109)*'Assumptions &amp; Data'!$C$80*(1-'Assumptions &amp; Data'!$C$81)+AP109*'Assumptions &amp; Data'!$C$83)/100000</f>
        <v>38.636046</v>
      </c>
      <c r="BI109" s="40" t="n">
        <f aca="false">'Assumptions &amp; Data'!L145*MAX(0,1-D109/'Assumptions &amp; Data'!$C$84)</f>
        <v>94.9166666666667</v>
      </c>
      <c r="BJ109" s="40" t="n">
        <f aca="false">IF(BG109&gt;0,BH109/BG109,99)</f>
        <v>99</v>
      </c>
      <c r="BK109" s="2" t="str">
        <f aca="false">IF(AND(P109&gt;='Assumptions &amp; Data'!$C$65,R109&gt;=0,W109&gt;='Assumptions &amp; Data'!$C$66),"Scale",IF(OR(O109&gt;=0,AX109&gt;=0),"Optimise",IF(BA109&gt;=0,"Turn around",IF(BB109&gt;=0,"Relocate or resize",IF(AND(BF109&gt;0,BJ109&lt;='Assumptions &amp; Data'!$C$75,D109&gt;='Assumptions &amp; Data'!$C$64),"Close","Relocate or resize")))))</f>
        <v>Scale</v>
      </c>
      <c r="BL109" s="42" t="str">
        <f aca="false">INDEX($BK$106:$BK$165,MATCH(BC109,$A$106:$A$165,0))</f>
        <v>Scale</v>
      </c>
      <c r="BM109" s="42" t="str">
        <f aca="false">IF(RANK(P109,$P$106:$P$165)&lt;=ROUND(COUNT($P$106:$P$165)/4,0),"Q1 top",IF(RANK(P109,$P$106:$P$165)&gt;COUNT($P$106:$P$165)-ROUND(COUNT($P$106:$P$165)/4,0),"Q4 bottom","Q2-Q3 middle"))</f>
        <v>Q1 top</v>
      </c>
      <c r="BN109" s="40" t="n">
        <f aca="false">SUMIFS('Financial Analysis'!$R$71:$R$790,'Financial Analysis'!$B$71:$B$790,$A109,'Financial Analysis'!$C$71:$C$790,"&gt;="&amp;'Assumptions &amp; Data'!$C$62)/'Assumptions &amp; Data'!$C$85/100000</f>
        <v>4.66227333333333</v>
      </c>
      <c r="BO109" s="40" t="n">
        <f aca="false">SUMIFS('Financial Analysis'!$H$71:$H$790,'Financial Analysis'!$B$71:$B$790,$A109,'Financial Analysis'!$C$71:$C$790,"&gt;="&amp;'Assumptions &amp; Data'!$C$62)/SUMIFS('Financial Analysis'!$E$71:$E$790,'Financial Analysis'!$B$71:$B$790,$A109,'Financial Analysis'!$C$71:$C$790,"&gt;="&amp;'Assumptions &amp; Data'!$C$62)</f>
        <v>589.551148668743</v>
      </c>
      <c r="BP109" s="40" t="n">
        <f aca="false">(SUMIFS('Financial Analysis'!$I$71:$I$790,'Financial Analysis'!$B$71:$B$790,$A109,'Financial Analysis'!$C$71:$C$790,"&gt;="&amp;'Assumptions &amp; Data'!$C$62)+SUMIFS('Financial Analysis'!$J$71:$J$790,'Financial Analysis'!$B$71:$B$790,$A109,'Financial Analysis'!$C$71:$C$790,"&gt;="&amp;'Assumptions &amp; Data'!$C$62)+SUMIFS('Financial Analysis'!$K$71:$K$790,'Financial Analysis'!$B$71:$B$790,$A109,'Financial Analysis'!$C$71:$C$790,"&gt;="&amp;'Assumptions &amp; Data'!$C$62))/SUMIFS('Financial Analysis'!$E$71:$E$790,'Financial Analysis'!$B$71:$B$790,$A109,'Financial Analysis'!$C$71:$C$790,"&gt;="&amp;'Assumptions &amp; Data'!$C$62)</f>
        <v>128.57647278669</v>
      </c>
      <c r="BQ109" s="40" t="n">
        <f aca="false">SUMIFS('Financial Analysis'!$L$71:$L$790,'Financial Analysis'!$B$71:$B$790,$A109,'Financial Analysis'!$C$71:$C$790,"&gt;="&amp;'Assumptions &amp; Data'!$C$62)/SUMIFS('Financial Analysis'!$E$71:$E$790,'Financial Analysis'!$B$71:$B$790,$A109,'Financial Analysis'!$C$71:$C$790,"&gt;="&amp;'Assumptions &amp; Data'!$C$62)</f>
        <v>10.542299192483</v>
      </c>
      <c r="BR109" s="40" t="n">
        <f aca="false">SUMIFS('Financial Analysis'!$L$71:$L$790,'Financial Analysis'!$B$71:$B$790,$A109,'Financial Analysis'!$C$71:$C$790,"&gt;="&amp;'Assumptions &amp; Data'!$C$62)/SUMIFS('Financial Analysis'!$E$71:$E$790,'Financial Analysis'!$B$71:$B$790,$A109,'Financial Analysis'!$C$71:$C$790,"&gt;="&amp;'Assumptions &amp; Data'!$C$62)</f>
        <v>10.542299192483</v>
      </c>
      <c r="BS109" s="40" t="n">
        <f aca="false">SUMIFS('Financial Analysis'!$N$71:$N$790,'Financial Analysis'!$B$71:$B$790,$A109,'Financial Analysis'!$C$71:$C$790,"&gt;="&amp;'Assumptions &amp; Data'!$C$62)/SUMIFS('Financial Analysis'!$E$71:$E$790,'Financial Analysis'!$B$71:$B$790,$A109,'Financial Analysis'!$C$71:$C$790,"&gt;="&amp;'Assumptions &amp; Data'!$C$62)</f>
        <v>34.4138883006332</v>
      </c>
      <c r="BT109" s="40" t="n">
        <f aca="false">(SUMIFS('Financial Analysis'!$O$71:$O$790,'Financial Analysis'!$B$71:$B$790,$A109,'Financial Analysis'!$C$71:$C$790,"&gt;="&amp;'Assumptions &amp; Data'!$C$62)+SUMIFS('Financial Analysis'!$P$71:$P$790,'Financial Analysis'!$B$71:$B$790,$A109,'Financial Analysis'!$C$71:$C$790,"&gt;="&amp;'Assumptions &amp; Data'!$C$62))/SUMIFS('Financial Analysis'!$E$71:$E$790,'Financial Analysis'!$B$71:$B$790,$A109,'Financial Analysis'!$C$71:$C$790,"&gt;="&amp;'Assumptions &amp; Data'!$C$62)</f>
        <v>15.9811436733417</v>
      </c>
      <c r="BU109" s="40" t="n">
        <f aca="false">SUMIFS('Financial Analysis'!$R$71:$R$790,'Financial Analysis'!$B$71:$B$790,$A109,'Financial Analysis'!$C$71:$C$790,"&gt;="&amp;'Assumptions &amp; Data'!$C$62)/SUMIFS('Financial Analysis'!$E$71:$E$790,'Financial Analysis'!$B$71:$B$790,$A109,'Financial Analysis'!$C$71:$C$790,"&gt;="&amp;'Assumptions &amp; Data'!$C$62)</f>
        <v>14.5196927229316</v>
      </c>
      <c r="BV109" s="40" t="n">
        <f aca="false">SUMIFS('Financial Analysis'!$S$71:$S$790,'Financial Analysis'!$B$71:$B$790,$A109,'Financial Analysis'!$C$71:$C$790,"&gt;="&amp;'Assumptions &amp; Data'!$C$62)/SUMIFS('Financial Analysis'!$E$71:$E$790,'Financial Analysis'!$B$71:$B$790,$A109,'Financial Analysis'!$C$71:$C$790,"&gt;="&amp;'Assumptions &amp; Data'!$C$62)</f>
        <v>10.4640298972283</v>
      </c>
      <c r="BW109" s="40" t="n">
        <f aca="false">(SUMIFS('Financial Analysis'!$T$71:$T$790,'Financial Analysis'!$B$71:$B$790,$A109,'Financial Analysis'!$C$71:$C$790,"&gt;="&amp;'Assumptions &amp; Data'!$C$62)+SUMIFS('Financial Analysis'!$U$71:$U$790,'Financial Analysis'!$B$71:$B$790,$A109,'Financial Analysis'!$C$71:$C$790,"&gt;="&amp;'Assumptions &amp; Data'!$C$62))/SUMIFS('Financial Analysis'!$E$71:$E$790,'Financial Analysis'!$B$71:$B$790,$A109,'Financial Analysis'!$C$71:$C$790,"&gt;="&amp;'Assumptions &amp; Data'!$C$62)</f>
        <v>10.9305408491643</v>
      </c>
      <c r="BX109" s="40" t="n">
        <f aca="false">SUMIFS('Financial Analysis'!$V$71:$V$790,'Financial Analysis'!$B$71:$B$790,$A109,'Financial Analysis'!$C$71:$C$790,"&gt;="&amp;'Assumptions &amp; Data'!$C$62)/SUMIFS('Financial Analysis'!$E$71:$E$790,'Financial Analysis'!$B$71:$B$790,$A109,'Financial Analysis'!$C$71:$C$790,"&gt;="&amp;'Assumptions &amp; Data'!$C$62)</f>
        <v>31.7248781509075</v>
      </c>
      <c r="BY109" s="37" t="n">
        <f aca="false">'Assumptions &amp; Data'!J145</f>
        <v>18</v>
      </c>
      <c r="BZ109" s="39" t="str">
        <f aca="false">IF(BK109="Close",COUNTIF($BK$106:BK109,"Close"),"")</f>
        <v/>
      </c>
    </row>
    <row r="110" customFormat="false" ht="15" hidden="false" customHeight="false" outlineLevel="0" collapsed="false">
      <c r="A110" s="48" t="str">
        <f aca="false">'Assumptions &amp; Data'!A146</f>
        <v>DS005</v>
      </c>
      <c r="B110" s="48" t="str">
        <f aca="false">'Assumptions &amp; Data'!B146</f>
        <v>Delhi NCR</v>
      </c>
      <c r="C110" s="48" t="str">
        <f aca="false">'Assumptions &amp; Data'!C146</f>
        <v>Mixed use</v>
      </c>
      <c r="D110" s="37" t="n">
        <f aca="false">'Assumptions &amp; Data'!D146</f>
        <v>33</v>
      </c>
      <c r="E110" s="39" t="n">
        <f aca="false">SUMIFS('Financial Analysis'!$E$71:$E$790,'Financial Analysis'!$B$71:$B$790,$A110,'Financial Analysis'!$C$71:$C$790,"&gt;="&amp;'Assumptions &amp; Data'!$C$62)/'Assumptions &amp; Data'!$C$63</f>
        <v>1321.3152173913</v>
      </c>
      <c r="F110" s="40" t="n">
        <f aca="false">SUMIFS('Financial Analysis'!$H$71:$H$790,'Financial Analysis'!$B$71:$B$790,$A110,'Financial Analysis'!$C$71:$C$790,"&gt;="&amp;'Assumptions &amp; Data'!$C$62)/'Assumptions &amp; Data'!$C$85/100000</f>
        <v>241.1319602605</v>
      </c>
      <c r="G110" s="40" t="n">
        <f aca="false">SUMIFS('Financial Analysis'!$F$71:$F$790,'Financial Analysis'!$B$71:$B$790,$A110,'Financial Analysis'!$C$71:$C$790,"&gt;="&amp;'Assumptions &amp; Data'!$C$62)/SUMIFS('Financial Analysis'!$E$71:$E$790,'Financial Analysis'!$B$71:$B$790,$A110,'Financial Analysis'!$C$71:$C$790,"&gt;="&amp;'Assumptions &amp; Data'!$C$62)</f>
        <v>638.278048880809</v>
      </c>
      <c r="H110" s="49" t="n">
        <f aca="false">SUMIFS('Financial Analysis'!$G$71:$G$790,'Financial Analysis'!$B$71:$B$790,$A110,'Financial Analysis'!$C$71:$C$790,"&gt;="&amp;'Assumptions &amp; Data'!$C$62)/SUMIFS('Financial Analysis'!$F$71:$F$790,'Financial Analysis'!$B$71:$B$790,$A110,'Financial Analysis'!$C$71:$C$790,"&gt;="&amp;'Assumptions &amp; Data'!$C$62)</f>
        <v>0.0676652778737581</v>
      </c>
      <c r="I110" s="49" t="n">
        <f aca="false">SUMIFS('Financial Analysis'!$L$71:$L$790,'Financial Analysis'!$B$71:$B$790,$A110,'Financial Analysis'!$C$71:$C$790,"&gt;="&amp;'Assumptions &amp; Data'!$C$62)/SUMIFS('Financial Analysis'!$H$71:$H$790,'Financial Analysis'!$B$71:$B$790,$A110,'Financial Analysis'!$C$71:$C$790,"&gt;="&amp;'Assumptions &amp; Data'!$C$62)</f>
        <v>0.017427038780142</v>
      </c>
      <c r="J110" s="40" t="n">
        <f aca="false">SUMIFS('Financial Analysis'!$N$71:$N$790,'Financial Analysis'!$B$71:$B$790,$A110,'Financial Analysis'!$C$71:$C$790,"&gt;="&amp;'Assumptions &amp; Data'!$C$62)/SUMIFS('Financial Analysis'!$E$71:$E$790,'Financial Analysis'!$B$71:$B$790,$A110,'Financial Analysis'!$C$71:$C$790,"&gt;="&amp;'Assumptions &amp; Data'!$C$62)</f>
        <v>38.333404957182</v>
      </c>
      <c r="K110" s="40" t="n">
        <f aca="false">SUMIFS('Financial Analysis'!$R$71:$R$790,'Financial Analysis'!$B$71:$B$790,$A110,'Financial Analysis'!$C$71:$C$790,"&gt;="&amp;'Assumptions &amp; Data'!$C$62)/AVERAGEIFS('Assumptions &amp; Data'!$M$205:$M$924,'Assumptions &amp; Data'!$B$205:$B$924,$A110,'Assumptions &amp; Data'!$C$205:$C$924,"&gt;="&amp;'Assumptions &amp; Data'!$C$62)/'Assumptions &amp; Data'!$C$85</f>
        <v>32.3339310713668</v>
      </c>
      <c r="L110" s="40" t="n">
        <f aca="false">E110/K110</f>
        <v>40.8646636400296</v>
      </c>
      <c r="M110" s="40" t="n">
        <f aca="false">SUMIFS('Financial Analysis'!$Q$71:$Q$790,'Financial Analysis'!$B$71:$B$790,$A110,'Financial Analysis'!$C$71:$C$790,"&gt;="&amp;'Assumptions &amp; Data'!$C$62)/SUMIFS('Financial Analysis'!$E$71:$E$790,'Financial Analysis'!$B$71:$B$790,$A110,'Financial Analysis'!$C$71:$C$790,"&gt;="&amp;'Assumptions &amp; Data'!$C$62)</f>
        <v>66.0010581026969</v>
      </c>
      <c r="N110" s="40" t="n">
        <f aca="false">SUMIFS('Financial Analysis'!$Y$71:$Y$790,'Financial Analysis'!$B$71:$B$790,$A110,'Financial Analysis'!$C$71:$C$790,"&gt;="&amp;'Assumptions &amp; Data'!$C$62)/'Assumptions &amp; Data'!$C$85/100000</f>
        <v>21.10328</v>
      </c>
      <c r="O110" s="40" t="n">
        <f aca="false">SUMIFS('Financial Analysis'!$V$71:$V$790,'Financial Analysis'!$B$71:$B$790,$A110,'Financial Analysis'!$C$71:$C$790,"&gt;="&amp;'Assumptions &amp; Data'!$C$62)/'Assumptions &amp; Data'!$C$85/100000</f>
        <v>5.64056874673979</v>
      </c>
      <c r="P110" s="49" t="n">
        <f aca="false">O110/F110</f>
        <v>0.0233920411904177</v>
      </c>
      <c r="Q110" s="39" t="n">
        <f aca="false">IF(M110&gt;0,N110*100000/(M110*'Assumptions &amp; Data'!$C$63/'Assumptions &amp; Data'!$C$85),9999)</f>
        <v>1042.63545852834</v>
      </c>
      <c r="R110" s="49" t="n">
        <f aca="false">E110/Q110-1</f>
        <v>0.267283983662245</v>
      </c>
      <c r="S110" s="50" t="n">
        <f aca="false">'Assumptions &amp; Data'!E146</f>
        <v>42.5</v>
      </c>
      <c r="T110" s="50" t="n">
        <f aca="false">'Assumptions &amp; Data'!G146</f>
        <v>2.1</v>
      </c>
      <c r="U110" s="49" t="n">
        <f aca="false">MAX(0,('Assumptions &amp; Data'!$C$72-T110)/'Assumptions &amp; Data'!$C$72)*'Assumptions &amp; Data'!$C$73</f>
        <v>0</v>
      </c>
      <c r="V110" s="39" t="n">
        <f aca="false">S110*$B$6*(1-U110)</f>
        <v>1513.91484289595</v>
      </c>
      <c r="W110" s="49" t="n">
        <f aca="false">V110/E110-1</f>
        <v>0.145763571757617</v>
      </c>
      <c r="X110" s="39" t="n">
        <f aca="false">IF(D110&gt;='Assumptions &amp; Data'!$C$64,1,0)</f>
        <v>1</v>
      </c>
      <c r="Y110" s="40" t="n">
        <f aca="false">IF(AND(X110=1,T110&gt;='Assumptions &amp; Data'!$C$72),E110/S110,"")</f>
        <v>31.0897698209719</v>
      </c>
      <c r="Z110" s="49" t="n">
        <f aca="false">IF(X110=1,H110,"")</f>
        <v>0.0676652778737581</v>
      </c>
      <c r="AA110" s="49" t="n">
        <f aca="false">IF(X110=1,I110,"")</f>
        <v>0.017427038780142</v>
      </c>
      <c r="AB110" s="40" t="n">
        <f aca="false">IF(X110=1,J110,"")</f>
        <v>38.333404957182</v>
      </c>
      <c r="AC110" s="40" t="n">
        <f aca="false">IF(X110=1,L110,"")</f>
        <v>40.8646636400296</v>
      </c>
      <c r="AD110" s="40" t="n">
        <f aca="false">IF(X110=1,AP110/E110*100,"")</f>
        <v>416.251922902905</v>
      </c>
      <c r="AE110" s="40" t="n">
        <f aca="false">IF(X110=1,M110,"")</f>
        <v>66.0010581026969</v>
      </c>
      <c r="AF110" s="40" t="n">
        <f aca="false">E110*'Assumptions &amp; Data'!$C$63/'Assumptions &amp; Data'!$C$85*G110/100000</f>
        <v>258.632393</v>
      </c>
      <c r="AG110" s="49" t="n">
        <f aca="false">MAX(0,H110-$B$7)</f>
        <v>0.0128601778705013</v>
      </c>
      <c r="AH110" s="40" t="n">
        <f aca="false">AG110*AF110</f>
        <v>3.32605857705339</v>
      </c>
      <c r="AI110" s="40" t="n">
        <f aca="false">AG110*100*E110*'Assumptions &amp; Data'!$C$63/'Assumptions &amp; Data'!$C$85*M110/100000</f>
        <v>34.3930651824856</v>
      </c>
      <c r="AJ110" s="49" t="n">
        <f aca="false">MAX(0,I110-$B$8)</f>
        <v>0</v>
      </c>
      <c r="AK110" s="40" t="n">
        <f aca="false">AJ110*F110</f>
        <v>0</v>
      </c>
      <c r="AL110" s="40" t="n">
        <f aca="false">MAX(0,K110-E110/$B$10)</f>
        <v>0</v>
      </c>
      <c r="AM110" s="40" t="n">
        <f aca="false">AL110*BN110/K110</f>
        <v>0</v>
      </c>
      <c r="AN110" s="40" t="n">
        <f aca="false">MAX(0,J110-$B$9)</f>
        <v>0.127248360721232</v>
      </c>
      <c r="AO110" s="40" t="n">
        <f aca="false">AN110*E110*'Assumptions &amp; Data'!$C$63/'Assumptions &amp; Data'!$C$85/100000</f>
        <v>0.0515614599254457</v>
      </c>
      <c r="AP110" s="37" t="n">
        <f aca="false">'Assumptions &amp; Data'!H146</f>
        <v>5500</v>
      </c>
      <c r="AQ110" s="39" t="n">
        <f aca="false">MIN(AP110,$B$11*E110/100)</f>
        <v>5076.97989245767</v>
      </c>
      <c r="AR110" s="39" t="n">
        <f aca="false">IF(AP110-AQ110&gt;'Assumptions &amp; Data'!$C$78*AP110,AP110-AQ110,0)</f>
        <v>0</v>
      </c>
      <c r="AS110" s="50" t="n">
        <f aca="false">'Assumptions &amp; Data'!I146</f>
        <v>192</v>
      </c>
      <c r="AT110" s="40" t="n">
        <f aca="false">INDEX('Assumptions &amp; Data'!$B$89:$E$94,MATCH(B110,'Assumptions &amp; Data'!$A$89:$A$94,0),MATCH(C110,'Assumptions &amp; Data'!$B$88:$E$88,0))</f>
        <v>157</v>
      </c>
      <c r="AU110" s="39" t="n">
        <f aca="false">IF(BY110&lt;='Assumptions &amp; Data'!$C$79,1,0)</f>
        <v>1</v>
      </c>
      <c r="AV110" s="40" t="n">
        <f aca="false">AU110*(AR110*AS110+MAX(0,AS110-AT110)*(AP110-AR110))/100000</f>
        <v>1.925</v>
      </c>
      <c r="AW110" s="40" t="n">
        <f aca="false">'Assumptions &amp; Data'!$C$67*(AH110-'Assumptions &amp; Data'!$C$68*AI110+AK110+AM110+AO110+AV110)</f>
        <v>2.97521363109239</v>
      </c>
      <c r="AX110" s="40" t="n">
        <f aca="false">O110+AW110</f>
        <v>8.61578237783217</v>
      </c>
      <c r="AY110" s="49" t="n">
        <f aca="false">IF(D110&lt;'Assumptions &amp; Data'!$C$64,'Assumptions &amp; Data'!$C$70,'Assumptions &amp; Data'!$C$69)</f>
        <v>0.5</v>
      </c>
      <c r="AZ110" s="40" t="n">
        <f aca="false">AY110*MAX(0,V110-E110)*'Assumptions &amp; Data'!$C$63/'Assumptions &amp; Data'!$C$85*(M110-'Assumptions &amp; Data'!$C$71)/100000</f>
        <v>1.65382003216134</v>
      </c>
      <c r="BA110" s="40" t="n">
        <f aca="false">AX110+AZ110</f>
        <v>10.2696024099935</v>
      </c>
      <c r="BB110" s="40" t="n">
        <f aca="false">BA110+(1-'Assumptions &amp; Data'!$C$67)*AV110</f>
        <v>11.0396024099935</v>
      </c>
      <c r="BC110" s="48" t="str">
        <f aca="false">'Assumptions &amp; Data'!F146</f>
        <v>DS006</v>
      </c>
      <c r="BD110" s="39" t="n">
        <f aca="false">INDEX('Assumptions &amp; Data'!$K$142:$K$201,MATCH(BC110,'Assumptions &amp; Data'!$A$142:$A$201,0))*'Assumptions &amp; Data'!$C$77</f>
        <v>1458</v>
      </c>
      <c r="BE110" s="39" t="n">
        <f aca="false">MAX(0,BD110-INDEX($E$106:$E$165,MATCH(BC110,$A$106:$A$165,0)))</f>
        <v>0</v>
      </c>
      <c r="BF110" s="39" t="n">
        <f aca="false">IF(T110&lt;='Assumptions &amp; Data'!$C$74,MIN('Assumptions &amp; Data'!$C$76*E110,BE110),0)</f>
        <v>0</v>
      </c>
      <c r="BG110" s="40" t="n">
        <f aca="false">-O110+BF110*'Assumptions &amp; Data'!$C$63/'Assumptions &amp; Data'!$C$85*($B$12-'Assumptions &amp; Data'!$C$71)/100000</f>
        <v>-5.64056874673979</v>
      </c>
      <c r="BH110" s="40" t="n">
        <f aca="false">(AS110*AP110*BY110*'Assumptions &amp; Data'!$C$82+K110*(BN110*100000/K110)*'Assumptions &amp; Data'!$C$80*(1-'Assumptions &amp; Data'!$C$81)+AP110*'Assumptions &amp; Data'!$C$83)/100000</f>
        <v>12.766695</v>
      </c>
      <c r="BI110" s="40" t="n">
        <f aca="false">'Assumptions &amp; Data'!L146*MAX(0,1-D110/'Assumptions &amp; Data'!$C$84)</f>
        <v>113.535714285714</v>
      </c>
      <c r="BJ110" s="40" t="n">
        <f aca="false">IF(BG110&gt;0,BH110/BG110,99)</f>
        <v>99</v>
      </c>
      <c r="BK110" s="2" t="str">
        <f aca="false">IF(AND(P110&gt;='Assumptions &amp; Data'!$C$65,R110&gt;=0,W110&gt;='Assumptions &amp; Data'!$C$66),"Scale",IF(OR(O110&gt;=0,AX110&gt;=0),"Optimise",IF(BA110&gt;=0,"Turn around",IF(BB110&gt;=0,"Relocate or resize",IF(AND(BF110&gt;0,BJ110&lt;='Assumptions &amp; Data'!$C$75,D110&gt;='Assumptions &amp; Data'!$C$64),"Close","Relocate or resize")))))</f>
        <v>Optimise</v>
      </c>
      <c r="BL110" s="42" t="str">
        <f aca="false">INDEX($BK$106:$BK$165,MATCH(BC110,$A$106:$A$165,0))</f>
        <v>Scale</v>
      </c>
      <c r="BM110" s="42" t="str">
        <f aca="false">IF(RANK(P110,$P$106:$P$165)&lt;=ROUND(COUNT($P$106:$P$165)/4,0),"Q1 top",IF(RANK(P110,$P$106:$P$165)&gt;COUNT($P$106:$P$165)-ROUND(COUNT($P$106:$P$165)/4,0),"Q4 bottom","Q2-Q3 middle"))</f>
        <v>Q2-Q3 middle</v>
      </c>
      <c r="BN110" s="40" t="n">
        <f aca="false">SUMIFS('Financial Analysis'!$R$71:$R$790,'Financial Analysis'!$B$71:$B$790,$A110,'Financial Analysis'!$C$71:$C$790,"&gt;="&amp;'Assumptions &amp; Data'!$C$62)/'Assumptions &amp; Data'!$C$85/100000</f>
        <v>6.85188333333333</v>
      </c>
      <c r="BO110" s="40" t="n">
        <f aca="false">SUMIFS('Financial Analysis'!$H$71:$H$790,'Financial Analysis'!$B$71:$B$790,$A110,'Financial Analysis'!$C$71:$C$790,"&gt;="&amp;'Assumptions &amp; Data'!$C$62)/SUMIFS('Financial Analysis'!$E$71:$E$790,'Financial Analysis'!$B$71:$B$790,$A110,'Financial Analysis'!$C$71:$C$790,"&gt;="&amp;'Assumptions &amp; Data'!$C$62)</f>
        <v>595.088787342569</v>
      </c>
      <c r="BP110" s="40" t="n">
        <f aca="false">(SUMIFS('Financial Analysis'!$I$71:$I$790,'Financial Analysis'!$B$71:$B$790,$A110,'Financial Analysis'!$C$71:$C$790,"&gt;="&amp;'Assumptions &amp; Data'!$C$62)+SUMIFS('Financial Analysis'!$J$71:$J$790,'Financial Analysis'!$B$71:$B$790,$A110,'Financial Analysis'!$C$71:$C$790,"&gt;="&amp;'Assumptions &amp; Data'!$C$62)+SUMIFS('Financial Analysis'!$K$71:$K$790,'Financial Analysis'!$B$71:$B$790,$A110,'Financial Analysis'!$C$71:$C$790,"&gt;="&amp;'Assumptions &amp; Data'!$C$62))/SUMIFS('Financial Analysis'!$E$71:$E$790,'Financial Analysis'!$B$71:$B$790,$A110,'Financial Analysis'!$C$71:$C$790,"&gt;="&amp;'Assumptions &amp; Data'!$C$62)</f>
        <v>130.906291169117</v>
      </c>
      <c r="BQ110" s="40" t="n">
        <f aca="false">SUMIFS('Financial Analysis'!$L$71:$L$790,'Financial Analysis'!$B$71:$B$790,$A110,'Financial Analysis'!$C$71:$C$790,"&gt;="&amp;'Assumptions &amp; Data'!$C$62)/SUMIFS('Financial Analysis'!$E$71:$E$790,'Financial Analysis'!$B$71:$B$790,$A110,'Financial Analysis'!$C$71:$C$790,"&gt;="&amp;'Assumptions &amp; Data'!$C$62)</f>
        <v>10.3706353746466</v>
      </c>
      <c r="BR110" s="40" t="n">
        <f aca="false">SUMIFS('Financial Analysis'!$L$71:$L$790,'Financial Analysis'!$B$71:$B$790,$A110,'Financial Analysis'!$C$71:$C$790,"&gt;="&amp;'Assumptions &amp; Data'!$C$62)/SUMIFS('Financial Analysis'!$E$71:$E$790,'Financial Analysis'!$B$71:$B$790,$A110,'Financial Analysis'!$C$71:$C$790,"&gt;="&amp;'Assumptions &amp; Data'!$C$62)</f>
        <v>10.3706353746466</v>
      </c>
      <c r="BS110" s="40" t="n">
        <f aca="false">SUMIFS('Financial Analysis'!$N$71:$N$790,'Financial Analysis'!$B$71:$B$790,$A110,'Financial Analysis'!$C$71:$C$790,"&gt;="&amp;'Assumptions &amp; Data'!$C$62)/SUMIFS('Financial Analysis'!$E$71:$E$790,'Financial Analysis'!$B$71:$B$790,$A110,'Financial Analysis'!$C$71:$C$790,"&gt;="&amp;'Assumptions &amp; Data'!$C$62)</f>
        <v>38.333404957182</v>
      </c>
      <c r="BT110" s="40" t="n">
        <f aca="false">(SUMIFS('Financial Analysis'!$O$71:$O$790,'Financial Analysis'!$B$71:$B$790,$A110,'Financial Analysis'!$C$71:$C$790,"&gt;="&amp;'Assumptions &amp; Data'!$C$62)+SUMIFS('Financial Analysis'!$P$71:$P$790,'Financial Analysis'!$B$71:$B$790,$A110,'Financial Analysis'!$C$71:$C$790,"&gt;="&amp;'Assumptions &amp; Data'!$C$62))/SUMIFS('Financial Analysis'!$E$71:$E$790,'Financial Analysis'!$B$71:$B$790,$A110,'Financial Analysis'!$C$71:$C$790,"&gt;="&amp;'Assumptions &amp; Data'!$C$62)</f>
        <v>16.2011927345918</v>
      </c>
      <c r="BU110" s="40" t="n">
        <f aca="false">SUMIFS('Financial Analysis'!$R$71:$R$790,'Financial Analysis'!$B$71:$B$790,$A110,'Financial Analysis'!$C$71:$C$790,"&gt;="&amp;'Assumptions &amp; Data'!$C$62)/SUMIFS('Financial Analysis'!$E$71:$E$790,'Financial Analysis'!$B$71:$B$790,$A110,'Financial Analysis'!$C$71:$C$790,"&gt;="&amp;'Assumptions &amp; Data'!$C$62)</f>
        <v>16.9097407885753</v>
      </c>
      <c r="BV110" s="40" t="n">
        <f aca="false">SUMIFS('Financial Analysis'!$S$71:$S$790,'Financial Analysis'!$B$71:$B$790,$A110,'Financial Analysis'!$C$71:$C$790,"&gt;="&amp;'Assumptions &amp; Data'!$C$62)/SUMIFS('Financial Analysis'!$E$71:$E$790,'Financial Analysis'!$B$71:$B$790,$A110,'Financial Analysis'!$C$71:$C$790,"&gt;="&amp;'Assumptions &amp; Data'!$C$62)</f>
        <v>26.0609899556601</v>
      </c>
      <c r="BW110" s="40" t="n">
        <f aca="false">(SUMIFS('Financial Analysis'!$T$71:$T$790,'Financial Analysis'!$B$71:$B$790,$A110,'Financial Analysis'!$C$71:$C$790,"&gt;="&amp;'Assumptions &amp; Data'!$C$62)+SUMIFS('Financial Analysis'!$U$71:$U$790,'Financial Analysis'!$B$71:$B$790,$A110,'Financial Analysis'!$C$71:$C$790,"&gt;="&amp;'Assumptions &amp; Data'!$C$62))/SUMIFS('Financial Analysis'!$E$71:$E$790,'Financial Analysis'!$B$71:$B$790,$A110,'Financial Analysis'!$C$71:$C$790,"&gt;="&amp;'Assumptions &amp; Data'!$C$62)</f>
        <v>9.10998593298838</v>
      </c>
      <c r="BX110" s="40" t="n">
        <f aca="false">SUMIFS('Financial Analysis'!$V$71:$V$790,'Financial Analysis'!$B$71:$B$790,$A110,'Financial Analysis'!$C$71:$C$790,"&gt;="&amp;'Assumptions &amp; Data'!$C$62)/SUMIFS('Financial Analysis'!$E$71:$E$790,'Financial Analysis'!$B$71:$B$790,$A110,'Financial Analysis'!$C$71:$C$790,"&gt;="&amp;'Assumptions &amp; Data'!$C$62)</f>
        <v>13.9203414254731</v>
      </c>
      <c r="BY110" s="37" t="n">
        <f aca="false">'Assumptions &amp; Data'!J146</f>
        <v>0</v>
      </c>
      <c r="BZ110" s="39" t="str">
        <f aca="false">IF(BK110="Close",COUNTIF($BK$106:BK110,"Close"),"")</f>
        <v/>
      </c>
    </row>
    <row r="111" customFormat="false" ht="15" hidden="false" customHeight="false" outlineLevel="0" collapsed="false">
      <c r="A111" s="48" t="str">
        <f aca="false">'Assumptions &amp; Data'!A147</f>
        <v>DS006</v>
      </c>
      <c r="B111" s="48" t="str">
        <f aca="false">'Assumptions &amp; Data'!B147</f>
        <v>Delhi NCR</v>
      </c>
      <c r="C111" s="48" t="str">
        <f aca="false">'Assumptions &amp; Data'!C147</f>
        <v>Mixed use</v>
      </c>
      <c r="D111" s="37" t="n">
        <f aca="false">'Assumptions &amp; Data'!D147</f>
        <v>31</v>
      </c>
      <c r="E111" s="39" t="n">
        <f aca="false">SUMIFS('Financial Analysis'!$E$71:$E$790,'Financial Analysis'!$B$71:$B$790,$A111,'Financial Analysis'!$C$71:$C$790,"&gt;="&amp;'Assumptions &amp; Data'!$C$62)/'Assumptions &amp; Data'!$C$63</f>
        <v>2026.02173913043</v>
      </c>
      <c r="F111" s="40" t="n">
        <f aca="false">SUMIFS('Financial Analysis'!$H$71:$H$790,'Financial Analysis'!$B$71:$B$790,$A111,'Financial Analysis'!$C$71:$C$790,"&gt;="&amp;'Assumptions &amp; Data'!$C$62)/'Assumptions &amp; Data'!$C$85/100000</f>
        <v>367.264058090733</v>
      </c>
      <c r="G111" s="40" t="n">
        <f aca="false">SUMIFS('Financial Analysis'!$F$71:$F$790,'Financial Analysis'!$B$71:$B$790,$A111,'Financial Analysis'!$C$71:$C$790,"&gt;="&amp;'Assumptions &amp; Data'!$C$62)/SUMIFS('Financial Analysis'!$E$71:$E$790,'Financial Analysis'!$B$71:$B$790,$A111,'Financial Analysis'!$C$71:$C$790,"&gt;="&amp;'Assumptions &amp; Data'!$C$62)</f>
        <v>628.235890640257</v>
      </c>
      <c r="H111" s="49" t="n">
        <f aca="false">SUMIFS('Financial Analysis'!$G$71:$G$790,'Financial Analysis'!$B$71:$B$790,$A111,'Financial Analysis'!$C$71:$C$790,"&gt;="&amp;'Assumptions &amp; Data'!$C$62)/SUMIFS('Financial Analysis'!$F$71:$F$790,'Financial Analysis'!$B$71:$B$790,$A111,'Financial Analysis'!$C$71:$C$790,"&gt;="&amp;'Assumptions &amp; Data'!$C$62)</f>
        <v>0.0590966575176475</v>
      </c>
      <c r="I111" s="49" t="n">
        <f aca="false">SUMIFS('Financial Analysis'!$L$71:$L$790,'Financial Analysis'!$B$71:$B$790,$A111,'Financial Analysis'!$C$71:$C$790,"&gt;="&amp;'Assumptions &amp; Data'!$C$62)/SUMIFS('Financial Analysis'!$H$71:$H$790,'Financial Analysis'!$B$71:$B$790,$A111,'Financial Analysis'!$C$71:$C$790,"&gt;="&amp;'Assumptions &amp; Data'!$C$62)</f>
        <v>0.0242004230757807</v>
      </c>
      <c r="J111" s="40" t="n">
        <f aca="false">SUMIFS('Financial Analysis'!$N$71:$N$790,'Financial Analysis'!$B$71:$B$790,$A111,'Financial Analysis'!$C$71:$C$790,"&gt;="&amp;'Assumptions &amp; Data'!$C$62)/SUMIFS('Financial Analysis'!$E$71:$E$790,'Financial Analysis'!$B$71:$B$790,$A111,'Financial Analysis'!$C$71:$C$790,"&gt;="&amp;'Assumptions &amp; Data'!$C$62)</f>
        <v>39.8678988057556</v>
      </c>
      <c r="K111" s="40" t="n">
        <f aca="false">SUMIFS('Financial Analysis'!$R$71:$R$790,'Financial Analysis'!$B$71:$B$790,$A111,'Financial Analysis'!$C$71:$C$790,"&gt;="&amp;'Assumptions &amp; Data'!$C$62)/AVERAGEIFS('Assumptions &amp; Data'!$M$205:$M$924,'Assumptions &amp; Data'!$B$205:$B$924,$A111,'Assumptions &amp; Data'!$C$205:$C$924,"&gt;="&amp;'Assumptions &amp; Data'!$C$62)/'Assumptions &amp; Data'!$C$85</f>
        <v>61.0008966070502</v>
      </c>
      <c r="L111" s="40" t="n">
        <f aca="false">E111/K111</f>
        <v>33.2129829530453</v>
      </c>
      <c r="M111" s="40" t="n">
        <f aca="false">SUMIFS('Financial Analysis'!$Q$71:$Q$790,'Financial Analysis'!$B$71:$B$790,$A111,'Financial Analysis'!$C$71:$C$790,"&gt;="&amp;'Assumptions &amp; Data'!$C$62)/SUMIFS('Financial Analysis'!$E$71:$E$790,'Financial Analysis'!$B$71:$B$790,$A111,'Financial Analysis'!$C$71:$C$790,"&gt;="&amp;'Assumptions &amp; Data'!$C$62)</f>
        <v>59.8152996565855</v>
      </c>
      <c r="N111" s="40" t="n">
        <f aca="false">SUMIFS('Financial Analysis'!$Y$71:$Y$790,'Financial Analysis'!$B$71:$B$790,$A111,'Financial Analysis'!$C$71:$C$790,"&gt;="&amp;'Assumptions &amp; Data'!$C$62)/'Assumptions &amp; Data'!$C$85/100000</f>
        <v>26.1581433333333</v>
      </c>
      <c r="O111" s="40" t="n">
        <f aca="false">SUMIFS('Financial Analysis'!$V$71:$V$790,'Financial Analysis'!$B$71:$B$790,$A111,'Financial Analysis'!$C$71:$C$790,"&gt;="&amp;'Assumptions &amp; Data'!$C$62)/'Assumptions &amp; Data'!$C$85/100000</f>
        <v>11.005899880632</v>
      </c>
      <c r="P111" s="49" t="n">
        <f aca="false">O111/F111</f>
        <v>0.0299672664345308</v>
      </c>
      <c r="Q111" s="39" t="n">
        <f aca="false">IF(M111&gt;0,N111*100000/(M111*'Assumptions &amp; Data'!$C$63/'Assumptions &amp; Data'!$C$85),9999)</f>
        <v>1426.02802239527</v>
      </c>
      <c r="R111" s="49" t="n">
        <f aca="false">E111/Q111-1</f>
        <v>0.420744688962966</v>
      </c>
      <c r="S111" s="50" t="n">
        <f aca="false">'Assumptions &amp; Data'!E147</f>
        <v>66.5</v>
      </c>
      <c r="T111" s="50" t="n">
        <f aca="false">'Assumptions &amp; Data'!G147</f>
        <v>2.1</v>
      </c>
      <c r="U111" s="49" t="n">
        <f aca="false">MAX(0,('Assumptions &amp; Data'!$C$72-T111)/'Assumptions &amp; Data'!$C$72)*'Assumptions &amp; Data'!$C$73</f>
        <v>0</v>
      </c>
      <c r="V111" s="39" t="n">
        <f aca="false">S111*$B$6*(1-U111)</f>
        <v>2368.83146006073</v>
      </c>
      <c r="W111" s="49" t="n">
        <f aca="false">V111/E111-1</f>
        <v>0.169203377391906</v>
      </c>
      <c r="X111" s="39" t="n">
        <f aca="false">IF(D111&gt;='Assumptions &amp; Data'!$C$64,1,0)</f>
        <v>1</v>
      </c>
      <c r="Y111" s="40" t="n">
        <f aca="false">IF(AND(X111=1,T111&gt;='Assumptions &amp; Data'!$C$72),E111/S111,"")</f>
        <v>30.4664923177509</v>
      </c>
      <c r="Z111" s="49" t="n">
        <f aca="false">IF(X111=1,H111,"")</f>
        <v>0.0590966575176475</v>
      </c>
      <c r="AA111" s="49" t="n">
        <f aca="false">IF(X111=1,I111,"")</f>
        <v>0.0242004230757807</v>
      </c>
      <c r="AB111" s="40" t="n">
        <f aca="false">IF(X111=1,J111,"")</f>
        <v>39.8678988057556</v>
      </c>
      <c r="AC111" s="40" t="n">
        <f aca="false">IF(X111=1,L111,"")</f>
        <v>33.2129829530453</v>
      </c>
      <c r="AD111" s="40" t="n">
        <f aca="false">IF(X111=1,AP111/E111*100,"")</f>
        <v>222.110153760314</v>
      </c>
      <c r="AE111" s="40" t="n">
        <f aca="false">IF(X111=1,M111,"")</f>
        <v>59.8152996565855</v>
      </c>
      <c r="AF111" s="40" t="n">
        <f aca="false">E111*'Assumptions &amp; Data'!$C$63/'Assumptions &amp; Data'!$C$85*G111/100000</f>
        <v>390.331335333333</v>
      </c>
      <c r="AG111" s="49" t="n">
        <f aca="false">MAX(0,H111-$B$7)</f>
        <v>0.00429155751439066</v>
      </c>
      <c r="AH111" s="40" t="n">
        <f aca="false">AG111*AF111</f>
        <v>1.67512937525191</v>
      </c>
      <c r="AI111" s="40" t="n">
        <f aca="false">AG111*100*E111*'Assumptions &amp; Data'!$C$63/'Assumptions &amp; Data'!$C$85*M111/100000</f>
        <v>15.9491628920032</v>
      </c>
      <c r="AJ111" s="49" t="n">
        <f aca="false">MAX(0,I111-$B$8)</f>
        <v>0.00279582936549358</v>
      </c>
      <c r="AK111" s="40" t="n">
        <f aca="false">AJ111*F111</f>
        <v>1.02680763850041</v>
      </c>
      <c r="AL111" s="40" t="n">
        <f aca="false">MAX(0,K111-E111/$B$10)</f>
        <v>7.91928816568795</v>
      </c>
      <c r="AM111" s="40" t="n">
        <f aca="false">AL111*BN111/K111</f>
        <v>1.67817635519093</v>
      </c>
      <c r="AN111" s="40" t="n">
        <f aca="false">MAX(0,J111-$B$9)</f>
        <v>1.66174220929479</v>
      </c>
      <c r="AO111" s="40" t="n">
        <f aca="false">AN111*E111*'Assumptions &amp; Data'!$C$63/'Assumptions &amp; Data'!$C$85/100000</f>
        <v>1.03246259119765</v>
      </c>
      <c r="AP111" s="37" t="n">
        <f aca="false">'Assumptions &amp; Data'!H147</f>
        <v>4500</v>
      </c>
      <c r="AQ111" s="39" t="n">
        <f aca="false">MIN(AP111,$B$11*E111/100)</f>
        <v>4500</v>
      </c>
      <c r="AR111" s="39" t="n">
        <f aca="false">IF(AP111-AQ111&gt;'Assumptions &amp; Data'!$C$78*AP111,AP111-AQ111,0)</f>
        <v>0</v>
      </c>
      <c r="AS111" s="50" t="n">
        <f aca="false">'Assumptions &amp; Data'!I147</f>
        <v>191</v>
      </c>
      <c r="AT111" s="40" t="n">
        <f aca="false">INDEX('Assumptions &amp; Data'!$B$89:$E$94,MATCH(B111,'Assumptions &amp; Data'!$A$89:$A$94,0),MATCH(C111,'Assumptions &amp; Data'!$B$88:$E$88,0))</f>
        <v>157</v>
      </c>
      <c r="AU111" s="39" t="n">
        <f aca="false">IF(BY111&lt;='Assumptions &amp; Data'!$C$79,1,0)</f>
        <v>1</v>
      </c>
      <c r="AV111" s="40" t="n">
        <f aca="false">AU111*(AR111*AS111+MAX(0,AS111-AT111)*(AP111-AR111))/100000</f>
        <v>1.53</v>
      </c>
      <c r="AW111" s="40" t="n">
        <f aca="false">'Assumptions &amp; Data'!$C$67*(AH111-'Assumptions &amp; Data'!$C$68*AI111+AK111+AM111+AO111+AV111)</f>
        <v>4.06985059873252</v>
      </c>
      <c r="AX111" s="40" t="n">
        <f aca="false">O111+AW111</f>
        <v>15.0757504793645</v>
      </c>
      <c r="AY111" s="49" t="n">
        <f aca="false">IF(D111&lt;'Assumptions &amp; Data'!$C$64,'Assumptions &amp; Data'!$C$70,'Assumptions &amp; Data'!$C$69)</f>
        <v>0.5</v>
      </c>
      <c r="AZ111" s="40" t="n">
        <f aca="false">AY111*MAX(0,V111-E111)*'Assumptions &amp; Data'!$C$63/'Assumptions &amp; Data'!$C$85*(M111-'Assumptions &amp; Data'!$C$71)/100000</f>
        <v>2.61849924257772</v>
      </c>
      <c r="BA111" s="40" t="n">
        <f aca="false">AX111+AZ111</f>
        <v>17.6942497219422</v>
      </c>
      <c r="BB111" s="40" t="n">
        <f aca="false">BA111+(1-'Assumptions &amp; Data'!$C$67)*AV111</f>
        <v>18.3062497219422</v>
      </c>
      <c r="BC111" s="48" t="str">
        <f aca="false">'Assumptions &amp; Data'!F147</f>
        <v>DS005</v>
      </c>
      <c r="BD111" s="39" t="n">
        <f aca="false">INDEX('Assumptions &amp; Data'!$K$142:$K$201,MATCH(BC111,'Assumptions &amp; Data'!$A$142:$A$201,0))*'Assumptions &amp; Data'!$C$77</f>
        <v>1782</v>
      </c>
      <c r="BE111" s="39" t="n">
        <f aca="false">MAX(0,BD111-INDEX($E$106:$E$165,MATCH(BC111,$A$106:$A$165,0)))</f>
        <v>460.684782608696</v>
      </c>
      <c r="BF111" s="39" t="n">
        <f aca="false">IF(T111&lt;='Assumptions &amp; Data'!$C$74,MIN('Assumptions &amp; Data'!$C$76*E111,BE111),0)</f>
        <v>0</v>
      </c>
      <c r="BG111" s="40" t="n">
        <f aca="false">-O111+BF111*'Assumptions &amp; Data'!$C$63/'Assumptions &amp; Data'!$C$85*($B$12-'Assumptions &amp; Data'!$C$71)/100000</f>
        <v>-11.005899880632</v>
      </c>
      <c r="BH111" s="40" t="n">
        <f aca="false">(AS111*AP111*BY111*'Assumptions &amp; Data'!$C$82+K111*(BN111*100000/K111)*'Assumptions &amp; Data'!$C$80*(1-'Assumptions &amp; Data'!$C$81)+AP111*'Assumptions &amp; Data'!$C$83)/100000</f>
        <v>55.71153</v>
      </c>
      <c r="BI111" s="40" t="n">
        <f aca="false">'Assumptions &amp; Data'!L147*MAX(0,1-D111/'Assumptions &amp; Data'!$C$84)</f>
        <v>96.5357142857143</v>
      </c>
      <c r="BJ111" s="40" t="n">
        <f aca="false">IF(BG111&gt;0,BH111/BG111,99)</f>
        <v>99</v>
      </c>
      <c r="BK111" s="2" t="str">
        <f aca="false">IF(AND(P111&gt;='Assumptions &amp; Data'!$C$65,R111&gt;=0,W111&gt;='Assumptions &amp; Data'!$C$66),"Scale",IF(OR(O111&gt;=0,AX111&gt;=0),"Optimise",IF(BA111&gt;=0,"Turn around",IF(BB111&gt;=0,"Relocate or resize",IF(AND(BF111&gt;0,BJ111&lt;='Assumptions &amp; Data'!$C$75,D111&gt;='Assumptions &amp; Data'!$C$64),"Close","Relocate or resize")))))</f>
        <v>Scale</v>
      </c>
      <c r="BL111" s="42" t="str">
        <f aca="false">INDEX($BK$106:$BK$165,MATCH(BC111,$A$106:$A$165,0))</f>
        <v>Optimise</v>
      </c>
      <c r="BM111" s="42" t="str">
        <f aca="false">IF(RANK(P111,$P$106:$P$165)&lt;=ROUND(COUNT($P$106:$P$165)/4,0),"Q1 top",IF(RANK(P111,$P$106:$P$165)&gt;COUNT($P$106:$P$165)-ROUND(COUNT($P$106:$P$165)/4,0),"Q4 bottom","Q2-Q3 middle"))</f>
        <v>Q2-Q3 middle</v>
      </c>
      <c r="BN111" s="40" t="n">
        <f aca="false">SUMIFS('Financial Analysis'!$R$71:$R$790,'Financial Analysis'!$B$71:$B$790,$A111,'Financial Analysis'!$C$71:$C$790,"&gt;="&amp;'Assumptions &amp; Data'!$C$62)/'Assumptions &amp; Data'!$C$85/100000</f>
        <v>12.9267</v>
      </c>
      <c r="BO111" s="40" t="n">
        <f aca="false">SUMIFS('Financial Analysis'!$H$71:$H$790,'Financial Analysis'!$B$71:$B$790,$A111,'Financial Analysis'!$C$71:$C$790,"&gt;="&amp;'Assumptions &amp; Data'!$C$62)/SUMIFS('Financial Analysis'!$E$71:$E$790,'Financial Analysis'!$B$71:$B$790,$A111,'Financial Analysis'!$C$71:$C$790,"&gt;="&amp;'Assumptions &amp; Data'!$C$62)</f>
        <v>591.109249370795</v>
      </c>
      <c r="BP111" s="40" t="n">
        <f aca="false">(SUMIFS('Financial Analysis'!$I$71:$I$790,'Financial Analysis'!$B$71:$B$790,$A111,'Financial Analysis'!$C$71:$C$790,"&gt;="&amp;'Assumptions &amp; Data'!$C$62)+SUMIFS('Financial Analysis'!$J$71:$J$790,'Financial Analysis'!$B$71:$B$790,$A111,'Financial Analysis'!$C$71:$C$790,"&gt;="&amp;'Assumptions &amp; Data'!$C$62)+SUMIFS('Financial Analysis'!$K$71:$K$790,'Financial Analysis'!$B$71:$B$790,$A111,'Financial Analysis'!$C$71:$C$790,"&gt;="&amp;'Assumptions &amp; Data'!$C$62))/SUMIFS('Financial Analysis'!$E$71:$E$790,'Financial Analysis'!$B$71:$B$790,$A111,'Financial Analysis'!$C$71:$C$790,"&gt;="&amp;'Assumptions &amp; Data'!$C$62)</f>
        <v>130.462378448434</v>
      </c>
      <c r="BQ111" s="40" t="n">
        <f aca="false">SUMIFS('Financial Analysis'!$L$71:$L$790,'Financial Analysis'!$B$71:$B$790,$A111,'Financial Analysis'!$C$71:$C$790,"&gt;="&amp;'Assumptions &amp; Data'!$C$62)/SUMIFS('Financial Analysis'!$E$71:$E$790,'Financial Analysis'!$B$71:$B$790,$A111,'Financial Analysis'!$C$71:$C$790,"&gt;="&amp;'Assumptions &amp; Data'!$C$62)</f>
        <v>14.3050939187804</v>
      </c>
      <c r="BR111" s="40" t="n">
        <f aca="false">SUMIFS('Financial Analysis'!$L$71:$L$790,'Financial Analysis'!$B$71:$B$790,$A111,'Financial Analysis'!$C$71:$C$790,"&gt;="&amp;'Assumptions &amp; Data'!$C$62)/SUMIFS('Financial Analysis'!$E$71:$E$790,'Financial Analysis'!$B$71:$B$790,$A111,'Financial Analysis'!$C$71:$C$790,"&gt;="&amp;'Assumptions &amp; Data'!$C$62)</f>
        <v>14.3050939187804</v>
      </c>
      <c r="BS111" s="40" t="n">
        <f aca="false">SUMIFS('Financial Analysis'!$N$71:$N$790,'Financial Analysis'!$B$71:$B$790,$A111,'Financial Analysis'!$C$71:$C$790,"&gt;="&amp;'Assumptions &amp; Data'!$C$62)/SUMIFS('Financial Analysis'!$E$71:$E$790,'Financial Analysis'!$B$71:$B$790,$A111,'Financial Analysis'!$C$71:$C$790,"&gt;="&amp;'Assumptions &amp; Data'!$C$62)</f>
        <v>39.8678988057556</v>
      </c>
      <c r="BT111" s="40" t="n">
        <f aca="false">(SUMIFS('Financial Analysis'!$O$71:$O$790,'Financial Analysis'!$B$71:$B$790,$A111,'Financial Analysis'!$C$71:$C$790,"&gt;="&amp;'Assumptions &amp; Data'!$C$62)+SUMIFS('Financial Analysis'!$P$71:$P$790,'Financial Analysis'!$B$71:$B$790,$A111,'Financial Analysis'!$C$71:$C$790,"&gt;="&amp;'Assumptions &amp; Data'!$C$62))/SUMIFS('Financial Analysis'!$E$71:$E$790,'Financial Analysis'!$B$71:$B$790,$A111,'Financial Analysis'!$C$71:$C$790,"&gt;="&amp;'Assumptions &amp; Data'!$C$62)</f>
        <v>16.4740860673124</v>
      </c>
      <c r="BU111" s="40" t="n">
        <f aca="false">SUMIFS('Financial Analysis'!$R$71:$R$790,'Financial Analysis'!$B$71:$B$790,$A111,'Financial Analysis'!$C$71:$C$790,"&gt;="&amp;'Assumptions &amp; Data'!$C$62)/SUMIFS('Financial Analysis'!$E$71:$E$790,'Financial Analysis'!$B$71:$B$790,$A111,'Financial Analysis'!$C$71:$C$790,"&gt;="&amp;'Assumptions &amp; Data'!$C$62)</f>
        <v>20.8054443812569</v>
      </c>
      <c r="BV111" s="40" t="n">
        <f aca="false">SUMIFS('Financial Analysis'!$S$71:$S$790,'Financial Analysis'!$B$71:$B$790,$A111,'Financial Analysis'!$C$71:$C$790,"&gt;="&amp;'Assumptions &amp; Data'!$C$62)/SUMIFS('Financial Analysis'!$E$71:$E$790,'Financial Analysis'!$B$71:$B$790,$A111,'Financial Analysis'!$C$71:$C$790,"&gt;="&amp;'Assumptions &amp; Data'!$C$62)</f>
        <v>13.8335997939848</v>
      </c>
      <c r="BW111" s="40" t="n">
        <f aca="false">(SUMIFS('Financial Analysis'!$T$71:$T$790,'Financial Analysis'!$B$71:$B$790,$A111,'Financial Analysis'!$C$71:$C$790,"&gt;="&amp;'Assumptions &amp; Data'!$C$62)+SUMIFS('Financial Analysis'!$U$71:$U$790,'Financial Analysis'!$B$71:$B$790,$A111,'Financial Analysis'!$C$71:$C$790,"&gt;="&amp;'Assumptions &amp; Data'!$C$62))/SUMIFS('Financial Analysis'!$E$71:$E$790,'Financial Analysis'!$B$71:$B$790,$A111,'Financial Analysis'!$C$71:$C$790,"&gt;="&amp;'Assumptions &amp; Data'!$C$62)</f>
        <v>7.4623271135337</v>
      </c>
      <c r="BX111" s="40" t="n">
        <f aca="false">SUMIFS('Financial Analysis'!$V$71:$V$790,'Financial Analysis'!$B$71:$B$790,$A111,'Financial Analysis'!$C$71:$C$790,"&gt;="&amp;'Assumptions &amp; Data'!$C$62)/SUMIFS('Financial Analysis'!$E$71:$E$790,'Financial Analysis'!$B$71:$B$790,$A111,'Financial Analysis'!$C$71:$C$790,"&gt;="&amp;'Assumptions &amp; Data'!$C$62)</f>
        <v>17.7139283678101</v>
      </c>
      <c r="BY111" s="37" t="n">
        <f aca="false">'Assumptions &amp; Data'!J147</f>
        <v>9</v>
      </c>
      <c r="BZ111" s="39" t="str">
        <f aca="false">IF(BK111="Close",COUNTIF($BK$106:BK111,"Close"),"")</f>
        <v/>
      </c>
    </row>
    <row r="112" customFormat="false" ht="15" hidden="false" customHeight="false" outlineLevel="0" collapsed="false">
      <c r="A112" s="48" t="str">
        <f aca="false">'Assumptions &amp; Data'!A148</f>
        <v>DS007</v>
      </c>
      <c r="B112" s="48" t="str">
        <f aca="false">'Assumptions &amp; Data'!B148</f>
        <v>Delhi NCR</v>
      </c>
      <c r="C112" s="48" t="str">
        <f aca="false">'Assumptions &amp; Data'!C148</f>
        <v>Mixed use</v>
      </c>
      <c r="D112" s="37" t="n">
        <f aca="false">'Assumptions &amp; Data'!D148</f>
        <v>5</v>
      </c>
      <c r="E112" s="39" t="n">
        <f aca="false">SUMIFS('Financial Analysis'!$E$71:$E$790,'Financial Analysis'!$B$71:$B$790,$A112,'Financial Analysis'!$C$71:$C$790,"&gt;="&amp;'Assumptions &amp; Data'!$C$62)/'Assumptions &amp; Data'!$C$63</f>
        <v>251.445652173913</v>
      </c>
      <c r="F112" s="40" t="n">
        <f aca="false">SUMIFS('Financial Analysis'!$H$71:$H$790,'Financial Analysis'!$B$71:$B$790,$A112,'Financial Analysis'!$C$71:$C$790,"&gt;="&amp;'Assumptions &amp; Data'!$C$62)/'Assumptions &amp; Data'!$C$85/100000</f>
        <v>45.1776530576</v>
      </c>
      <c r="G112" s="40" t="n">
        <f aca="false">SUMIFS('Financial Analysis'!$F$71:$F$790,'Financial Analysis'!$B$71:$B$790,$A112,'Financial Analysis'!$C$71:$C$790,"&gt;="&amp;'Assumptions &amp; Data'!$C$62)/SUMIFS('Financial Analysis'!$E$71:$E$790,'Financial Analysis'!$B$71:$B$790,$A112,'Financial Analysis'!$C$71:$C$790,"&gt;="&amp;'Assumptions &amp; Data'!$C$62)</f>
        <v>630.180655340855</v>
      </c>
      <c r="H112" s="49" t="n">
        <f aca="false">SUMIFS('Financial Analysis'!$G$71:$G$790,'Financial Analysis'!$B$71:$B$790,$A112,'Financial Analysis'!$C$71:$C$790,"&gt;="&amp;'Assumptions &amp; Data'!$C$62)/SUMIFS('Financial Analysis'!$F$71:$F$790,'Financial Analysis'!$B$71:$B$790,$A112,'Financial Analysis'!$C$71:$C$790,"&gt;="&amp;'Assumptions &amp; Data'!$C$62)</f>
        <v>0.0702891586400742</v>
      </c>
      <c r="I112" s="49" t="n">
        <f aca="false">SUMIFS('Financial Analysis'!$L$71:$L$790,'Financial Analysis'!$B$71:$B$790,$A112,'Financial Analysis'!$C$71:$C$790,"&gt;="&amp;'Assumptions &amp; Data'!$C$62)/SUMIFS('Financial Analysis'!$H$71:$H$790,'Financial Analysis'!$B$71:$B$790,$A112,'Financial Analysis'!$C$71:$C$790,"&gt;="&amp;'Assumptions &amp; Data'!$C$62)</f>
        <v>0.0343452823261545</v>
      </c>
      <c r="J112" s="40" t="n">
        <f aca="false">SUMIFS('Financial Analysis'!$N$71:$N$790,'Financial Analysis'!$B$71:$B$790,$A112,'Financial Analysis'!$C$71:$C$790,"&gt;="&amp;'Assumptions &amp; Data'!$C$62)/SUMIFS('Financial Analysis'!$E$71:$E$790,'Financial Analysis'!$B$71:$B$790,$A112,'Financial Analysis'!$C$71:$C$790,"&gt;="&amp;'Assumptions &amp; Data'!$C$62)</f>
        <v>43.9615981498293</v>
      </c>
      <c r="K112" s="40" t="n">
        <f aca="false">SUMIFS('Financial Analysis'!$R$71:$R$790,'Financial Analysis'!$B$71:$B$790,$A112,'Financial Analysis'!$C$71:$C$790,"&gt;="&amp;'Assumptions &amp; Data'!$C$62)/AVERAGEIFS('Assumptions &amp; Data'!$M$205:$M$924,'Assumptions &amp; Data'!$B$205:$B$924,$A112,'Assumptions &amp; Data'!$C$205:$C$924,"&gt;="&amp;'Assumptions &amp; Data'!$C$62)/'Assumptions &amp; Data'!$C$85</f>
        <v>16</v>
      </c>
      <c r="L112" s="40" t="n">
        <f aca="false">E112/K112</f>
        <v>15.7153532608696</v>
      </c>
      <c r="M112" s="40" t="n">
        <f aca="false">SUMIFS('Financial Analysis'!$Q$71:$Q$790,'Financial Analysis'!$B$71:$B$790,$A112,'Financial Analysis'!$C$71:$C$790,"&gt;="&amp;'Assumptions &amp; Data'!$C$62)/SUMIFS('Financial Analysis'!$E$71:$E$790,'Financial Analysis'!$B$71:$B$790,$A112,'Financial Analysis'!$C$71:$C$790,"&gt;="&amp;'Assumptions &amp; Data'!$C$62)</f>
        <v>41.0004105248561</v>
      </c>
      <c r="N112" s="40" t="n">
        <f aca="false">SUMIFS('Financial Analysis'!$Y$71:$Y$790,'Financial Analysis'!$B$71:$B$790,$A112,'Financial Analysis'!$C$71:$C$790,"&gt;="&amp;'Assumptions &amp; Data'!$C$62)/'Assumptions &amp; Data'!$C$85/100000</f>
        <v>14.23907</v>
      </c>
      <c r="O112" s="40" t="n">
        <f aca="false">SUMIFS('Financial Analysis'!$V$71:$V$790,'Financial Analysis'!$B$71:$B$790,$A112,'Financial Analysis'!$C$71:$C$790,"&gt;="&amp;'Assumptions &amp; Data'!$C$62)/'Assumptions &amp; Data'!$C$85/100000</f>
        <v>-11.0775283444284</v>
      </c>
      <c r="P112" s="49" t="n">
        <f aca="false">O112/F112</f>
        <v>-0.245199287583728</v>
      </c>
      <c r="Q112" s="39" t="n">
        <f aca="false">IF(M112&gt;0,N112*100000/(M112*'Assumptions &amp; Data'!$C$63/'Assumptions &amp; Data'!$C$85),9999)</f>
        <v>1132.47036811622</v>
      </c>
      <c r="R112" s="49" t="n">
        <f aca="false">E112/Q112-1</f>
        <v>-0.777967124568413</v>
      </c>
      <c r="S112" s="50" t="n">
        <f aca="false">'Assumptions &amp; Data'!E148</f>
        <v>22</v>
      </c>
      <c r="T112" s="50" t="n">
        <f aca="false">'Assumptions &amp; Data'!G148</f>
        <v>3.4</v>
      </c>
      <c r="U112" s="49" t="n">
        <f aca="false">MAX(0,('Assumptions &amp; Data'!$C$72-T112)/'Assumptions &amp; Data'!$C$72)*'Assumptions &amp; Data'!$C$73</f>
        <v>0</v>
      </c>
      <c r="V112" s="39" t="n">
        <f aca="false">S112*$B$6*(1-U112)</f>
        <v>783.673565734376</v>
      </c>
      <c r="W112" s="49" t="n">
        <f aca="false">V112/E112-1</f>
        <v>2.11667176966077</v>
      </c>
      <c r="X112" s="39" t="n">
        <f aca="false">IF(D112&gt;='Assumptions &amp; Data'!$C$64,1,0)</f>
        <v>0</v>
      </c>
      <c r="Y112" s="40" t="str">
        <f aca="false">IF(AND(X112=1,T112&gt;='Assumptions &amp; Data'!$C$72),E112/S112,"")</f>
        <v/>
      </c>
      <c r="Z112" s="49" t="str">
        <f aca="false">IF(X112=1,H112,"")</f>
        <v/>
      </c>
      <c r="AA112" s="49" t="str">
        <f aca="false">IF(X112=1,I112,"")</f>
        <v/>
      </c>
      <c r="AB112" s="40" t="str">
        <f aca="false">IF(X112=1,J112,"")</f>
        <v/>
      </c>
      <c r="AC112" s="40" t="str">
        <f aca="false">IF(X112=1,L112,"")</f>
        <v/>
      </c>
      <c r="AD112" s="40" t="str">
        <f aca="false">IF(X112=1,AP112/E112*100,"")</f>
        <v/>
      </c>
      <c r="AE112" s="40" t="str">
        <f aca="false">IF(X112=1,M112,"")</f>
        <v/>
      </c>
      <c r="AF112" s="40" t="n">
        <f aca="false">E112*'Assumptions &amp; Data'!$C$63/'Assumptions &amp; Data'!$C$85*G112/100000</f>
        <v>48.5932303333333</v>
      </c>
      <c r="AG112" s="49" t="n">
        <f aca="false">MAX(0,H112-$B$7)</f>
        <v>0.0154840586368174</v>
      </c>
      <c r="AH112" s="40" t="n">
        <f aca="false">AG112*AF112</f>
        <v>0.752420427833709</v>
      </c>
      <c r="AI112" s="40" t="n">
        <f aca="false">AG112*100*E112*'Assumptions &amp; Data'!$C$63/'Assumptions &amp; Data'!$C$85*M112/100000</f>
        <v>4.89534963776123</v>
      </c>
      <c r="AJ112" s="49" t="n">
        <f aca="false">MAX(0,I112-$B$8)</f>
        <v>0.0129406886158674</v>
      </c>
      <c r="AK112" s="40" t="n">
        <f aca="false">AJ112*F112</f>
        <v>0.584629940614093</v>
      </c>
      <c r="AL112" s="40" t="n">
        <f aca="false">MAX(0,K112-E112/$B$10)</f>
        <v>9.41214390981452</v>
      </c>
      <c r="AM112" s="40" t="n">
        <f aca="false">AL112*BN112/K112</f>
        <v>1.9945274159288</v>
      </c>
      <c r="AN112" s="40" t="n">
        <f aca="false">MAX(0,J112-$B$9)</f>
        <v>5.75544155336849</v>
      </c>
      <c r="AO112" s="40" t="n">
        <f aca="false">AN112*E112*'Assumptions &amp; Data'!$C$63/'Assumptions &amp; Data'!$C$85/100000</f>
        <v>0.443802098180244</v>
      </c>
      <c r="AP112" s="37" t="n">
        <f aca="false">'Assumptions &amp; Data'!H148</f>
        <v>4500</v>
      </c>
      <c r="AQ112" s="39" t="n">
        <f aca="false">MIN(AP112,$B$11*E112/100)</f>
        <v>966.14683864252</v>
      </c>
      <c r="AR112" s="39" t="n">
        <f aca="false">IF(AP112-AQ112&gt;'Assumptions &amp; Data'!$C$78*AP112,AP112-AQ112,0)</f>
        <v>3533.85316135748</v>
      </c>
      <c r="AS112" s="50" t="n">
        <f aca="false">'Assumptions &amp; Data'!I148</f>
        <v>179</v>
      </c>
      <c r="AT112" s="40" t="n">
        <f aca="false">INDEX('Assumptions &amp; Data'!$B$89:$E$94,MATCH(B112,'Assumptions &amp; Data'!$A$89:$A$94,0),MATCH(C112,'Assumptions &amp; Data'!$B$88:$E$88,0))</f>
        <v>157</v>
      </c>
      <c r="AU112" s="39" t="n">
        <f aca="false">IF(BY112&lt;='Assumptions &amp; Data'!$C$79,1,0)</f>
        <v>0</v>
      </c>
      <c r="AV112" s="40" t="n">
        <f aca="false">AU112*(AR112*AS112+MAX(0,AS112-AT112)*(AP112-AR112))/100000</f>
        <v>0</v>
      </c>
      <c r="AW112" s="40" t="n">
        <f aca="false">'Assumptions &amp; Data'!$C$67*(AH112-'Assumptions &amp; Data'!$C$68*AI112+AK112+AM112+AO112+AV112)</f>
        <v>2.23585583170754</v>
      </c>
      <c r="AX112" s="40" t="n">
        <f aca="false">O112+AW112</f>
        <v>-8.84167251272081</v>
      </c>
      <c r="AY112" s="49" t="n">
        <f aca="false">IF(D112&lt;'Assumptions &amp; Data'!$C$64,'Assumptions &amp; Data'!$C$70,'Assumptions &amp; Data'!$C$69)</f>
        <v>0.8</v>
      </c>
      <c r="AZ112" s="40" t="n">
        <f aca="false">AY112*MAX(0,V112-E112)*'Assumptions &amp; Data'!$C$63/'Assumptions &amp; Data'!$C$85*(M112-'Assumptions &amp; Data'!$C$71)/100000</f>
        <v>4.04782429549573</v>
      </c>
      <c r="BA112" s="40" t="n">
        <f aca="false">AX112+AZ112</f>
        <v>-4.79384821722508</v>
      </c>
      <c r="BB112" s="40" t="n">
        <f aca="false">BA112+(1-'Assumptions &amp; Data'!$C$67)*AV112</f>
        <v>-4.79384821722508</v>
      </c>
      <c r="BC112" s="48" t="str">
        <f aca="false">'Assumptions &amp; Data'!F148</f>
        <v>DS010</v>
      </c>
      <c r="BD112" s="39" t="n">
        <f aca="false">INDEX('Assumptions &amp; Data'!$K$142:$K$201,MATCH(BC112,'Assumptions &amp; Data'!$A$142:$A$201,0))*'Assumptions &amp; Data'!$C$77</f>
        <v>1458</v>
      </c>
      <c r="BE112" s="39" t="n">
        <f aca="false">MAX(0,BD112-INDEX($E$106:$E$165,MATCH(BC112,$A$106:$A$165,0)))</f>
        <v>0</v>
      </c>
      <c r="BF112" s="39" t="n">
        <f aca="false">IF(T112&lt;='Assumptions &amp; Data'!$C$74,MIN('Assumptions &amp; Data'!$C$76*E112,BE112),0)</f>
        <v>0</v>
      </c>
      <c r="BG112" s="40" t="n">
        <f aca="false">-O112+BF112*'Assumptions &amp; Data'!$C$63/'Assumptions &amp; Data'!$C$85*($B$12-'Assumptions &amp; Data'!$C$71)/100000</f>
        <v>11.0775283444284</v>
      </c>
      <c r="BH112" s="40" t="n">
        <f aca="false">(AS112*AP112*BY112*'Assumptions &amp; Data'!$C$82+K112*(BN112*100000/K112)*'Assumptions &amp; Data'!$C$80*(1-'Assumptions &amp; Data'!$C$81)+AP112*'Assumptions &amp; Data'!$C$83)/100000</f>
        <v>80.946504</v>
      </c>
      <c r="BI112" s="40" t="n">
        <f aca="false">'Assumptions &amp; Data'!L148*MAX(0,1-D112/'Assumptions &amp; Data'!$C$84)</f>
        <v>143.892857142857</v>
      </c>
      <c r="BJ112" s="40" t="n">
        <f aca="false">IF(BG112&gt;0,BH112/BG112,99)</f>
        <v>7.30727121458584</v>
      </c>
      <c r="BK112" s="2" t="str">
        <f aca="false">IF(AND(P112&gt;='Assumptions &amp; Data'!$C$65,R112&gt;=0,W112&gt;='Assumptions &amp; Data'!$C$66),"Scale",IF(OR(O112&gt;=0,AX112&gt;=0),"Optimise",IF(BA112&gt;=0,"Turn around",IF(BB112&gt;=0,"Relocate or resize",IF(AND(BF112&gt;0,BJ112&lt;='Assumptions &amp; Data'!$C$75,D112&gt;='Assumptions &amp; Data'!$C$64),"Close","Relocate or resize")))))</f>
        <v>Relocate or resize</v>
      </c>
      <c r="BL112" s="42" t="str">
        <f aca="false">INDEX($BK$106:$BK$165,MATCH(BC112,$A$106:$A$165,0))</f>
        <v>Optimise</v>
      </c>
      <c r="BM112" s="42" t="str">
        <f aca="false">IF(RANK(P112,$P$106:$P$165)&lt;=ROUND(COUNT($P$106:$P$165)/4,0),"Q1 top",IF(RANK(P112,$P$106:$P$165)&gt;COUNT($P$106:$P$165)-ROUND(COUNT($P$106:$P$165)/4,0),"Q4 bottom","Q2-Q3 middle"))</f>
        <v>Q4 bottom</v>
      </c>
      <c r="BN112" s="40" t="n">
        <f aca="false">SUMIFS('Financial Analysis'!$R$71:$R$790,'Financial Analysis'!$B$71:$B$790,$A112,'Financial Analysis'!$C$71:$C$790,"&gt;="&amp;'Assumptions &amp; Data'!$C$62)/'Assumptions &amp; Data'!$C$85/100000</f>
        <v>3.39056</v>
      </c>
      <c r="BO112" s="40" t="n">
        <f aca="false">SUMIFS('Financial Analysis'!$H$71:$H$790,'Financial Analysis'!$B$71:$B$790,$A112,'Financial Analysis'!$C$71:$C$790,"&gt;="&amp;'Assumptions &amp; Data'!$C$62)/SUMIFS('Financial Analysis'!$E$71:$E$790,'Financial Analysis'!$B$71:$B$790,$A112,'Financial Analysis'!$C$71:$C$790,"&gt;="&amp;'Assumptions &amp; Data'!$C$62)</f>
        <v>585.885787285696</v>
      </c>
      <c r="BP112" s="40" t="n">
        <f aca="false">(SUMIFS('Financial Analysis'!$I$71:$I$790,'Financial Analysis'!$B$71:$B$790,$A112,'Financial Analysis'!$C$71:$C$790,"&gt;="&amp;'Assumptions &amp; Data'!$C$62)+SUMIFS('Financial Analysis'!$J$71:$J$790,'Financial Analysis'!$B$71:$B$790,$A112,'Financial Analysis'!$C$71:$C$790,"&gt;="&amp;'Assumptions &amp; Data'!$C$62)+SUMIFS('Financial Analysis'!$K$71:$K$790,'Financial Analysis'!$B$71:$B$790,$A112,'Financial Analysis'!$C$71:$C$790,"&gt;="&amp;'Assumptions &amp; Data'!$C$62))/SUMIFS('Financial Analysis'!$E$71:$E$790,'Financial Analysis'!$B$71:$B$790,$A112,'Financial Analysis'!$C$71:$C$790,"&gt;="&amp;'Assumptions &amp; Data'!$C$62)</f>
        <v>121.482857457309</v>
      </c>
      <c r="BQ112" s="40" t="n">
        <f aca="false">SUMIFS('Financial Analysis'!$L$71:$L$790,'Financial Analysis'!$B$71:$B$790,$A112,'Financial Analysis'!$C$71:$C$790,"&gt;="&amp;'Assumptions &amp; Data'!$C$62)/SUMIFS('Financial Analysis'!$E$71:$E$790,'Financial Analysis'!$B$71:$B$790,$A112,'Financial Analysis'!$C$71:$C$790,"&gt;="&amp;'Assumptions &amp; Data'!$C$62)</f>
        <v>20.1224127752085</v>
      </c>
      <c r="BR112" s="40" t="n">
        <f aca="false">SUMIFS('Financial Analysis'!$L$71:$L$790,'Financial Analysis'!$B$71:$B$790,$A112,'Financial Analysis'!$C$71:$C$790,"&gt;="&amp;'Assumptions &amp; Data'!$C$62)/SUMIFS('Financial Analysis'!$E$71:$E$790,'Financial Analysis'!$B$71:$B$790,$A112,'Financial Analysis'!$C$71:$C$790,"&gt;="&amp;'Assumptions &amp; Data'!$C$62)</f>
        <v>20.1224127752085</v>
      </c>
      <c r="BS112" s="40" t="n">
        <f aca="false">SUMIFS('Financial Analysis'!$N$71:$N$790,'Financial Analysis'!$B$71:$B$790,$A112,'Financial Analysis'!$C$71:$C$790,"&gt;="&amp;'Assumptions &amp; Data'!$C$62)/SUMIFS('Financial Analysis'!$E$71:$E$790,'Financial Analysis'!$B$71:$B$790,$A112,'Financial Analysis'!$C$71:$C$790,"&gt;="&amp;'Assumptions &amp; Data'!$C$62)</f>
        <v>43.9615981498293</v>
      </c>
      <c r="BT112" s="40" t="n">
        <f aca="false">(SUMIFS('Financial Analysis'!$O$71:$O$790,'Financial Analysis'!$B$71:$B$790,$A112,'Financial Analysis'!$C$71:$C$790,"&gt;="&amp;'Assumptions &amp; Data'!$C$62)+SUMIFS('Financial Analysis'!$P$71:$P$790,'Financial Analysis'!$B$71:$B$790,$A112,'Financial Analysis'!$C$71:$C$790,"&gt;="&amp;'Assumptions &amp; Data'!$C$62))/SUMIFS('Financial Analysis'!$E$71:$E$790,'Financial Analysis'!$B$71:$B$790,$A112,'Financial Analysis'!$C$71:$C$790,"&gt;="&amp;'Assumptions &amp; Data'!$C$62)</f>
        <v>16.398436007415</v>
      </c>
      <c r="BU112" s="40" t="n">
        <f aca="false">SUMIFS('Financial Analysis'!$R$71:$R$790,'Financial Analysis'!$B$71:$B$790,$A112,'Financial Analysis'!$C$71:$C$790,"&gt;="&amp;'Assumptions &amp; Data'!$C$62)/SUMIFS('Financial Analysis'!$E$71:$E$790,'Financial Analysis'!$B$71:$B$790,$A112,'Financial Analysis'!$C$71:$C$790,"&gt;="&amp;'Assumptions &amp; Data'!$C$62)</f>
        <v>43.970431850603</v>
      </c>
      <c r="BV112" s="40" t="n">
        <f aca="false">SUMIFS('Financial Analysis'!$S$71:$S$790,'Financial Analysis'!$B$71:$B$790,$A112,'Financial Analysis'!$C$71:$C$790,"&gt;="&amp;'Assumptions &amp; Data'!$C$62)/SUMIFS('Financial Analysis'!$E$71:$E$790,'Financial Analysis'!$B$71:$B$790,$A112,'Financial Analysis'!$C$71:$C$790,"&gt;="&amp;'Assumptions &amp; Data'!$C$62)</f>
        <v>104.4611593827</v>
      </c>
      <c r="BW112" s="40" t="n">
        <f aca="false">(SUMIFS('Financial Analysis'!$T$71:$T$790,'Financial Analysis'!$B$71:$B$790,$A112,'Financial Analysis'!$C$71:$C$790,"&gt;="&amp;'Assumptions &amp; Data'!$C$62)+SUMIFS('Financial Analysis'!$U$71:$U$790,'Financial Analysis'!$B$71:$B$790,$A112,'Financial Analysis'!$C$71:$C$790,"&gt;="&amp;'Assumptions &amp; Data'!$C$62))/SUMIFS('Financial Analysis'!$E$71:$E$790,'Financial Analysis'!$B$71:$B$790,$A112,'Financial Analysis'!$C$71:$C$790,"&gt;="&amp;'Assumptions &amp; Data'!$C$62)</f>
        <v>36.2275969394372</v>
      </c>
      <c r="BX112" s="40" t="n">
        <f aca="false">SUMIFS('Financial Analysis'!$V$71:$V$790,'Financial Analysis'!$B$71:$B$790,$A112,'Financial Analysis'!$C$71:$C$790,"&gt;="&amp;'Assumptions &amp; Data'!$C$62)/SUMIFS('Financial Analysis'!$E$71:$E$790,'Financial Analysis'!$B$71:$B$790,$A112,'Financial Analysis'!$C$71:$C$790,"&gt;="&amp;'Assumptions &amp; Data'!$C$62)</f>
        <v>-143.658777647884</v>
      </c>
      <c r="BY112" s="37" t="n">
        <f aca="false">'Assumptions &amp; Data'!J148</f>
        <v>18</v>
      </c>
      <c r="BZ112" s="39" t="str">
        <f aca="false">IF(BK112="Close",COUNTIF($BK$106:BK112,"Close"),"")</f>
        <v/>
      </c>
    </row>
    <row r="113" customFormat="false" ht="15" hidden="false" customHeight="false" outlineLevel="0" collapsed="false">
      <c r="A113" s="48" t="str">
        <f aca="false">'Assumptions &amp; Data'!A149</f>
        <v>DS008</v>
      </c>
      <c r="B113" s="48" t="str">
        <f aca="false">'Assumptions &amp; Data'!B149</f>
        <v>Delhi NCR</v>
      </c>
      <c r="C113" s="48" t="str">
        <f aca="false">'Assumptions &amp; Data'!C149</f>
        <v>Dense residential</v>
      </c>
      <c r="D113" s="37" t="n">
        <f aca="false">'Assumptions &amp; Data'!D149</f>
        <v>21</v>
      </c>
      <c r="E113" s="39" t="n">
        <f aca="false">SUMIFS('Financial Analysis'!$E$71:$E$790,'Financial Analysis'!$B$71:$B$790,$A113,'Financial Analysis'!$C$71:$C$790,"&gt;="&amp;'Assumptions &amp; Data'!$C$62)/'Assumptions &amp; Data'!$C$63</f>
        <v>1041.6847826087</v>
      </c>
      <c r="F113" s="40" t="n">
        <f aca="false">SUMIFS('Financial Analysis'!$H$71:$H$790,'Financial Analysis'!$B$71:$B$790,$A113,'Financial Analysis'!$C$71:$C$790,"&gt;="&amp;'Assumptions &amp; Data'!$C$62)/'Assumptions &amp; Data'!$C$85/100000</f>
        <v>206.4880458082</v>
      </c>
      <c r="G113" s="40" t="n">
        <f aca="false">SUMIFS('Financial Analysis'!$F$71:$F$790,'Financial Analysis'!$B$71:$B$790,$A113,'Financial Analysis'!$C$71:$C$790,"&gt;="&amp;'Assumptions &amp; Data'!$C$62)/SUMIFS('Financial Analysis'!$E$71:$E$790,'Financial Analysis'!$B$71:$B$790,$A113,'Financial Analysis'!$C$71:$C$790,"&gt;="&amp;'Assumptions &amp; Data'!$C$62)</f>
        <v>692.871269369229</v>
      </c>
      <c r="H113" s="49" t="n">
        <f aca="false">SUMIFS('Financial Analysis'!$G$71:$G$790,'Financial Analysis'!$B$71:$B$790,$A113,'Financial Analysis'!$C$71:$C$790,"&gt;="&amp;'Assumptions &amp; Data'!$C$62)/SUMIFS('Financial Analysis'!$F$71:$F$790,'Financial Analysis'!$B$71:$B$790,$A113,'Financial Analysis'!$C$71:$C$790,"&gt;="&amp;'Assumptions &amp; Data'!$C$62)</f>
        <v>0.0670906012864223</v>
      </c>
      <c r="I113" s="49" t="n">
        <f aca="false">SUMIFS('Financial Analysis'!$L$71:$L$790,'Financial Analysis'!$B$71:$B$790,$A113,'Financial Analysis'!$C$71:$C$790,"&gt;="&amp;'Assumptions &amp; Data'!$C$62)/SUMIFS('Financial Analysis'!$H$71:$H$790,'Financial Analysis'!$B$71:$B$790,$A113,'Financial Analysis'!$C$71:$C$790,"&gt;="&amp;'Assumptions &amp; Data'!$C$62)</f>
        <v>0.0323162081317401</v>
      </c>
      <c r="J113" s="40" t="n">
        <f aca="false">SUMIFS('Financial Analysis'!$N$71:$N$790,'Financial Analysis'!$B$71:$B$790,$A113,'Financial Analysis'!$C$71:$C$790,"&gt;="&amp;'Assumptions &amp; Data'!$C$62)/SUMIFS('Financial Analysis'!$E$71:$E$790,'Financial Analysis'!$B$71:$B$790,$A113,'Financial Analysis'!$C$71:$C$790,"&gt;="&amp;'Assumptions &amp; Data'!$C$62)</f>
        <v>37.7240878593416</v>
      </c>
      <c r="K113" s="40" t="n">
        <f aca="false">SUMIFS('Financial Analysis'!$R$71:$R$790,'Financial Analysis'!$B$71:$B$790,$A113,'Financial Analysis'!$C$71:$C$790,"&gt;="&amp;'Assumptions &amp; Data'!$C$62)/AVERAGEIFS('Assumptions &amp; Data'!$M$205:$M$924,'Assumptions &amp; Data'!$B$205:$B$924,$A113,'Assumptions &amp; Data'!$C$205:$C$924,"&gt;="&amp;'Assumptions &amp; Data'!$C$62)/'Assumptions &amp; Data'!$C$85</f>
        <v>26.6660689286332</v>
      </c>
      <c r="L113" s="40" t="n">
        <f aca="false">E113/K113</f>
        <v>39.0640549755036</v>
      </c>
      <c r="M113" s="40" t="n">
        <f aca="false">SUMIFS('Financial Analysis'!$Q$71:$Q$790,'Financial Analysis'!$B$71:$B$790,$A113,'Financial Analysis'!$C$71:$C$790,"&gt;="&amp;'Assumptions &amp; Data'!$C$62)/SUMIFS('Financial Analysis'!$E$71:$E$790,'Financial Analysis'!$B$71:$B$790,$A113,'Financial Analysis'!$C$71:$C$790,"&gt;="&amp;'Assumptions &amp; Data'!$C$62)</f>
        <v>64.2211202018006</v>
      </c>
      <c r="N113" s="40" t="n">
        <f aca="false">SUMIFS('Financial Analysis'!$Y$71:$Y$790,'Financial Analysis'!$B$71:$B$790,$A113,'Financial Analysis'!$C$71:$C$790,"&gt;="&amp;'Assumptions &amp; Data'!$C$62)/'Assumptions &amp; Data'!$C$85/100000</f>
        <v>14.7166066666667</v>
      </c>
      <c r="O113" s="40" t="n">
        <f aca="false">SUMIFS('Financial Analysis'!$V$71:$V$790,'Financial Analysis'!$B$71:$B$790,$A113,'Financial Analysis'!$C$71:$C$790,"&gt;="&amp;'Assumptions &amp; Data'!$C$62)/'Assumptions &amp; Data'!$C$85/100000</f>
        <v>5.79883018179855</v>
      </c>
      <c r="P113" s="49" t="n">
        <f aca="false">O113/F113</f>
        <v>0.0280831278106283</v>
      </c>
      <c r="Q113" s="39" t="n">
        <f aca="false">IF(M113&gt;0,N113*100000/(M113*'Assumptions &amp; Data'!$C$63/'Assumptions &amp; Data'!$C$85),9999)</f>
        <v>747.245370865754</v>
      </c>
      <c r="R113" s="49" t="n">
        <f aca="false">E113/Q113-1</f>
        <v>0.394033102408926</v>
      </c>
      <c r="S113" s="50" t="n">
        <f aca="false">'Assumptions &amp; Data'!E149</f>
        <v>35.9</v>
      </c>
      <c r="T113" s="50" t="n">
        <f aca="false">'Assumptions &amp; Data'!G149</f>
        <v>1</v>
      </c>
      <c r="U113" s="49" t="n">
        <f aca="false">MAX(0,('Assumptions &amp; Data'!$C$72-T113)/'Assumptions &amp; Data'!$C$72)*'Assumptions &amp; Data'!$C$73</f>
        <v>0.166666666666667</v>
      </c>
      <c r="V113" s="39" t="n">
        <f aca="false">S113*$B$6*(1-U113)</f>
        <v>1065.6773109797</v>
      </c>
      <c r="W113" s="49" t="n">
        <f aca="false">V113/E113-1</f>
        <v>0.0230324266722222</v>
      </c>
      <c r="X113" s="39" t="n">
        <f aca="false">IF(D113&gt;='Assumptions &amp; Data'!$C$64,1,0)</f>
        <v>1</v>
      </c>
      <c r="Y113" s="40" t="str">
        <f aca="false">IF(AND(X113=1,T113&gt;='Assumptions &amp; Data'!$C$72),E113/S113,"")</f>
        <v/>
      </c>
      <c r="Z113" s="49" t="n">
        <f aca="false">IF(X113=1,H113,"")</f>
        <v>0.0670906012864223</v>
      </c>
      <c r="AA113" s="49" t="n">
        <f aca="false">IF(X113=1,I113,"")</f>
        <v>0.0323162081317401</v>
      </c>
      <c r="AB113" s="40" t="n">
        <f aca="false">IF(X113=1,J113,"")</f>
        <v>37.7240878593416</v>
      </c>
      <c r="AC113" s="40" t="n">
        <f aca="false">IF(X113=1,L113,"")</f>
        <v>39.0640549755036</v>
      </c>
      <c r="AD113" s="40" t="n">
        <f aca="false">IF(X113=1,AP113/E113*100,"")</f>
        <v>383.993321855272</v>
      </c>
      <c r="AE113" s="40" t="n">
        <f aca="false">IF(X113=1,M113,"")</f>
        <v>64.2211202018006</v>
      </c>
      <c r="AF113" s="40" t="n">
        <f aca="false">E113*'Assumptions &amp; Data'!$C$63/'Assumptions &amp; Data'!$C$85*G113/100000</f>
        <v>221.337727</v>
      </c>
      <c r="AG113" s="49" t="n">
        <f aca="false">MAX(0,H113-$B$7)</f>
        <v>0.0122855012831656</v>
      </c>
      <c r="AH113" s="40" t="n">
        <f aca="false">AG113*AF113</f>
        <v>2.71924492907145</v>
      </c>
      <c r="AI113" s="40" t="n">
        <f aca="false">AG113*100*E113*'Assumptions &amp; Data'!$C$63/'Assumptions &amp; Data'!$C$85*M113/100000</f>
        <v>25.2042425726521</v>
      </c>
      <c r="AJ113" s="49" t="n">
        <f aca="false">MAX(0,I113-$B$8)</f>
        <v>0.010911614421453</v>
      </c>
      <c r="AK113" s="40" t="n">
        <f aca="false">AJ113*F113</f>
        <v>2.25311793849841</v>
      </c>
      <c r="AL113" s="40" t="n">
        <f aca="false">MAX(0,K113-E113/$B$10)</f>
        <v>0</v>
      </c>
      <c r="AM113" s="40" t="n">
        <f aca="false">AL113*BN113/K113</f>
        <v>0</v>
      </c>
      <c r="AN113" s="40" t="n">
        <f aca="false">MAX(0,J113-$B$9)</f>
        <v>0</v>
      </c>
      <c r="AO113" s="40" t="n">
        <f aca="false">AN113*E113*'Assumptions &amp; Data'!$C$63/'Assumptions &amp; Data'!$C$85/100000</f>
        <v>0</v>
      </c>
      <c r="AP113" s="37" t="n">
        <f aca="false">'Assumptions &amp; Data'!H149</f>
        <v>4000</v>
      </c>
      <c r="AQ113" s="39" t="n">
        <f aca="false">MIN(AP113,$B$11*E113/100)</f>
        <v>4000</v>
      </c>
      <c r="AR113" s="39" t="n">
        <f aca="false">IF(AP113-AQ113&gt;'Assumptions &amp; Data'!$C$78*AP113,AP113-AQ113,0)</f>
        <v>0</v>
      </c>
      <c r="AS113" s="50" t="n">
        <f aca="false">'Assumptions &amp; Data'!I149</f>
        <v>136</v>
      </c>
      <c r="AT113" s="40" t="n">
        <f aca="false">INDEX('Assumptions &amp; Data'!$B$89:$E$94,MATCH(B113,'Assumptions &amp; Data'!$A$89:$A$94,0),MATCH(C113,'Assumptions &amp; Data'!$B$88:$E$88,0))</f>
        <v>143</v>
      </c>
      <c r="AU113" s="39" t="n">
        <f aca="false">IF(BY113&lt;='Assumptions &amp; Data'!$C$79,1,0)</f>
        <v>1</v>
      </c>
      <c r="AV113" s="40" t="n">
        <f aca="false">AU113*(AR113*AS113+MAX(0,AS113-AT113)*(AP113-AR113))/100000</f>
        <v>0</v>
      </c>
      <c r="AW113" s="40" t="n">
        <f aca="false">'Assumptions &amp; Data'!$C$67*(AH113-'Assumptions &amp; Data'!$C$68*AI113+AK113+AM113+AO113+AV113)</f>
        <v>2.832192265106</v>
      </c>
      <c r="AX113" s="40" t="n">
        <f aca="false">O113+AW113</f>
        <v>8.63102244690455</v>
      </c>
      <c r="AY113" s="49" t="n">
        <f aca="false">IF(D113&lt;'Assumptions &amp; Data'!$C$64,'Assumptions &amp; Data'!$C$70,'Assumptions &amp; Data'!$C$69)</f>
        <v>0.5</v>
      </c>
      <c r="AZ113" s="40" t="n">
        <f aca="false">AY113*MAX(0,V113-E113)*'Assumptions &amp; Data'!$C$63/'Assumptions &amp; Data'!$C$85*(M113-'Assumptions &amp; Data'!$C$71)/100000</f>
        <v>0.199471603928233</v>
      </c>
      <c r="BA113" s="40" t="n">
        <f aca="false">AX113+AZ113</f>
        <v>8.83049405083279</v>
      </c>
      <c r="BB113" s="40" t="n">
        <f aca="false">BA113+(1-'Assumptions &amp; Data'!$C$67)*AV113</f>
        <v>8.83049405083279</v>
      </c>
      <c r="BC113" s="48" t="str">
        <f aca="false">'Assumptions &amp; Data'!F149</f>
        <v>DS002</v>
      </c>
      <c r="BD113" s="39" t="n">
        <f aca="false">INDEX('Assumptions &amp; Data'!$K$142:$K$201,MATCH(BC113,'Assumptions &amp; Data'!$A$142:$A$201,0))*'Assumptions &amp; Data'!$C$77</f>
        <v>972</v>
      </c>
      <c r="BE113" s="39" t="n">
        <f aca="false">MAX(0,BD113-INDEX($E$106:$E$165,MATCH(BC113,$A$106:$A$165,0)))</f>
        <v>236.652173913044</v>
      </c>
      <c r="BF113" s="39" t="n">
        <f aca="false">IF(T113&lt;='Assumptions &amp; Data'!$C$74,MIN('Assumptions &amp; Data'!$C$76*E113,BE113),0)</f>
        <v>236.652173913044</v>
      </c>
      <c r="BG113" s="40" t="n">
        <f aca="false">-O113+BF113*'Assumptions &amp; Data'!$C$63/'Assumptions &amp; Data'!$C$85*($B$12-'Assumptions &amp; Data'!$C$71)/100000</f>
        <v>-1.8263812323687</v>
      </c>
      <c r="BH113" s="40" t="n">
        <f aca="false">(AS113*AP113*BY113*'Assumptions &amp; Data'!$C$82+K113*(BN113*100000/K113)*'Assumptions &amp; Data'!$C$80*(1-'Assumptions &amp; Data'!$C$81)+AP113*'Assumptions &amp; Data'!$C$83)/100000</f>
        <v>26.205726</v>
      </c>
      <c r="BI113" s="40" t="n">
        <f aca="false">'Assumptions &amp; Data'!L149*MAX(0,1-D113/'Assumptions &amp; Data'!$C$84)</f>
        <v>102</v>
      </c>
      <c r="BJ113" s="40" t="n">
        <f aca="false">IF(BG113&gt;0,BH113/BG113,99)</f>
        <v>99</v>
      </c>
      <c r="BK113" s="2" t="str">
        <f aca="false">IF(AND(P113&gt;='Assumptions &amp; Data'!$C$65,R113&gt;=0,W113&gt;='Assumptions &amp; Data'!$C$66),"Scale",IF(OR(O113&gt;=0,AX113&gt;=0),"Optimise",IF(BA113&gt;=0,"Turn around",IF(BB113&gt;=0,"Relocate or resize",IF(AND(BF113&gt;0,BJ113&lt;='Assumptions &amp; Data'!$C$75,D113&gt;='Assumptions &amp; Data'!$C$64),"Close","Relocate or resize")))))</f>
        <v>Optimise</v>
      </c>
      <c r="BL113" s="42" t="str">
        <f aca="false">INDEX($BK$106:$BK$165,MATCH(BC113,$A$106:$A$165,0))</f>
        <v>Scale</v>
      </c>
      <c r="BM113" s="42" t="str">
        <f aca="false">IF(RANK(P113,$P$106:$P$165)&lt;=ROUND(COUNT($P$106:$P$165)/4,0),"Q1 top",IF(RANK(P113,$P$106:$P$165)&gt;COUNT($P$106:$P$165)-ROUND(COUNT($P$106:$P$165)/4,0),"Q4 bottom","Q2-Q3 middle"))</f>
        <v>Q2-Q3 middle</v>
      </c>
      <c r="BN113" s="40" t="n">
        <f aca="false">SUMIFS('Financial Analysis'!$R$71:$R$790,'Financial Analysis'!$B$71:$B$790,$A113,'Financial Analysis'!$C$71:$C$790,"&gt;="&amp;'Assumptions &amp; Data'!$C$62)/'Assumptions &amp; Data'!$C$85/100000</f>
        <v>5.65080666666667</v>
      </c>
      <c r="BO113" s="40" t="n">
        <f aca="false">SUMIFS('Financial Analysis'!$H$71:$H$790,'Financial Analysis'!$B$71:$B$790,$A113,'Financial Analysis'!$C$71:$C$790,"&gt;="&amp;'Assumptions &amp; Data'!$C$62)/SUMIFS('Financial Analysis'!$E$71:$E$790,'Financial Analysis'!$B$71:$B$790,$A113,'Financial Analysis'!$C$71:$C$790,"&gt;="&amp;'Assumptions &amp; Data'!$C$62)</f>
        <v>646.38611929316</v>
      </c>
      <c r="BP113" s="40" t="n">
        <f aca="false">(SUMIFS('Financial Analysis'!$I$71:$I$790,'Financial Analysis'!$B$71:$B$790,$A113,'Financial Analysis'!$C$71:$C$790,"&gt;="&amp;'Assumptions &amp; Data'!$C$62)+SUMIFS('Financial Analysis'!$J$71:$J$790,'Financial Analysis'!$B$71:$B$790,$A113,'Financial Analysis'!$C$71:$C$790,"&gt;="&amp;'Assumptions &amp; Data'!$C$62)+SUMIFS('Financial Analysis'!$K$71:$K$790,'Financial Analysis'!$B$71:$B$790,$A113,'Financial Analysis'!$C$71:$C$790,"&gt;="&amp;'Assumptions &amp; Data'!$C$62))/SUMIFS('Financial Analysis'!$E$71:$E$790,'Financial Analysis'!$B$71:$B$790,$A113,'Financial Analysis'!$C$71:$C$790,"&gt;="&amp;'Assumptions &amp; Data'!$C$62)</f>
        <v>139.838236701451</v>
      </c>
      <c r="BQ113" s="40" t="n">
        <f aca="false">SUMIFS('Financial Analysis'!$L$71:$L$790,'Financial Analysis'!$B$71:$B$790,$A113,'Financial Analysis'!$C$71:$C$790,"&gt;="&amp;'Assumptions &amp; Data'!$C$62)/SUMIFS('Financial Analysis'!$E$71:$E$790,'Financial Analysis'!$B$71:$B$790,$A113,'Financial Analysis'!$C$71:$C$790,"&gt;="&amp;'Assumptions &amp; Data'!$C$62)</f>
        <v>20.8887483645456</v>
      </c>
      <c r="BR113" s="40" t="n">
        <f aca="false">SUMIFS('Financial Analysis'!$L$71:$L$790,'Financial Analysis'!$B$71:$B$790,$A113,'Financial Analysis'!$C$71:$C$790,"&gt;="&amp;'Assumptions &amp; Data'!$C$62)/SUMIFS('Financial Analysis'!$E$71:$E$790,'Financial Analysis'!$B$71:$B$790,$A113,'Financial Analysis'!$C$71:$C$790,"&gt;="&amp;'Assumptions &amp; Data'!$C$62)</f>
        <v>20.8887483645456</v>
      </c>
      <c r="BS113" s="40" t="n">
        <f aca="false">SUMIFS('Financial Analysis'!$N$71:$N$790,'Financial Analysis'!$B$71:$B$790,$A113,'Financial Analysis'!$C$71:$C$790,"&gt;="&amp;'Assumptions &amp; Data'!$C$62)/SUMIFS('Financial Analysis'!$E$71:$E$790,'Financial Analysis'!$B$71:$B$790,$A113,'Financial Analysis'!$C$71:$C$790,"&gt;="&amp;'Assumptions &amp; Data'!$C$62)</f>
        <v>37.7240878593416</v>
      </c>
      <c r="BT113" s="40" t="n">
        <f aca="false">(SUMIFS('Financial Analysis'!$O$71:$O$790,'Financial Analysis'!$B$71:$B$790,$A113,'Financial Analysis'!$C$71:$C$790,"&gt;="&amp;'Assumptions &amp; Data'!$C$62)+SUMIFS('Financial Analysis'!$P$71:$P$790,'Financial Analysis'!$B$71:$B$790,$A113,'Financial Analysis'!$C$71:$C$790,"&gt;="&amp;'Assumptions &amp; Data'!$C$62))/SUMIFS('Financial Analysis'!$E$71:$E$790,'Financial Analysis'!$B$71:$B$790,$A113,'Financial Analysis'!$C$71:$C$790,"&gt;="&amp;'Assumptions &amp; Data'!$C$62)</f>
        <v>17.0042802757632</v>
      </c>
      <c r="BU113" s="40" t="n">
        <f aca="false">SUMIFS('Financial Analysis'!$R$71:$R$790,'Financial Analysis'!$B$71:$B$790,$A113,'Financial Analysis'!$C$71:$C$790,"&gt;="&amp;'Assumptions &amp; Data'!$C$62)/SUMIFS('Financial Analysis'!$E$71:$E$790,'Financial Analysis'!$B$71:$B$790,$A113,'Financial Analysis'!$C$71:$C$790,"&gt;="&amp;'Assumptions &amp; Data'!$C$62)</f>
        <v>17.68917410132</v>
      </c>
      <c r="BV113" s="40" t="n">
        <f aca="false">SUMIFS('Financial Analysis'!$S$71:$S$790,'Financial Analysis'!$B$71:$B$790,$A113,'Financial Analysis'!$C$71:$C$790,"&gt;="&amp;'Assumptions &amp; Data'!$C$62)/SUMIFS('Financial Analysis'!$E$71:$E$790,'Financial Analysis'!$B$71:$B$790,$A113,'Financial Analysis'!$C$71:$C$790,"&gt;="&amp;'Assumptions &amp; Data'!$C$62)</f>
        <v>17.0292690561903</v>
      </c>
      <c r="BW113" s="40" t="n">
        <f aca="false">(SUMIFS('Financial Analysis'!$T$71:$T$790,'Financial Analysis'!$B$71:$B$790,$A113,'Financial Analysis'!$C$71:$C$790,"&gt;="&amp;'Assumptions &amp; Data'!$C$62)+SUMIFS('Financial Analysis'!$U$71:$U$790,'Financial Analysis'!$B$71:$B$790,$A113,'Financial Analysis'!$C$71:$C$790,"&gt;="&amp;'Assumptions &amp; Data'!$C$62))/SUMIFS('Financial Analysis'!$E$71:$E$790,'Financial Analysis'!$B$71:$B$790,$A113,'Financial Analysis'!$C$71:$C$790,"&gt;="&amp;'Assumptions &amp; Data'!$C$62)</f>
        <v>11.3501330411645</v>
      </c>
      <c r="BX113" s="40" t="n">
        <f aca="false">SUMIFS('Financial Analysis'!$V$71:$V$790,'Financial Analysis'!$B$71:$B$790,$A113,'Financial Analysis'!$C$71:$C$790,"&gt;="&amp;'Assumptions &amp; Data'!$C$62)/SUMIFS('Financial Analysis'!$E$71:$E$790,'Financial Analysis'!$B$71:$B$790,$A113,'Financial Analysis'!$C$71:$C$790,"&gt;="&amp;'Assumptions &amp; Data'!$C$62)</f>
        <v>18.1525440031258</v>
      </c>
      <c r="BY113" s="37" t="n">
        <f aca="false">'Assumptions &amp; Data'!J149</f>
        <v>6</v>
      </c>
      <c r="BZ113" s="39" t="str">
        <f aca="false">IF(BK113="Close",COUNTIF($BK$106:BK113,"Close"),"")</f>
        <v/>
      </c>
    </row>
    <row r="114" customFormat="false" ht="15" hidden="false" customHeight="false" outlineLevel="0" collapsed="false">
      <c r="A114" s="48" t="str">
        <f aca="false">'Assumptions &amp; Data'!A150</f>
        <v>DS009</v>
      </c>
      <c r="B114" s="48" t="str">
        <f aca="false">'Assumptions &amp; Data'!B150</f>
        <v>Delhi NCR</v>
      </c>
      <c r="C114" s="48" t="str">
        <f aca="false">'Assumptions &amp; Data'!C150</f>
        <v>Dense residential</v>
      </c>
      <c r="D114" s="37" t="n">
        <f aca="false">'Assumptions &amp; Data'!D150</f>
        <v>41</v>
      </c>
      <c r="E114" s="39" t="n">
        <f aca="false">SUMIFS('Financial Analysis'!$E$71:$E$790,'Financial Analysis'!$B$71:$B$790,$A114,'Financial Analysis'!$C$71:$C$790,"&gt;="&amp;'Assumptions &amp; Data'!$C$62)/'Assumptions &amp; Data'!$C$63</f>
        <v>1434.42391304348</v>
      </c>
      <c r="F114" s="40" t="n">
        <f aca="false">SUMIFS('Financial Analysis'!$H$71:$H$790,'Financial Analysis'!$B$71:$B$790,$A114,'Financial Analysis'!$C$71:$C$790,"&gt;="&amp;'Assumptions &amp; Data'!$C$62)/'Assumptions &amp; Data'!$C$85/100000</f>
        <v>294.4191103944</v>
      </c>
      <c r="G114" s="40" t="n">
        <f aca="false">SUMIFS('Financial Analysis'!$F$71:$F$790,'Financial Analysis'!$B$71:$B$790,$A114,'Financial Analysis'!$C$71:$C$790,"&gt;="&amp;'Assumptions &amp; Data'!$C$62)/SUMIFS('Financial Analysis'!$E$71:$E$790,'Financial Analysis'!$B$71:$B$790,$A114,'Financial Analysis'!$C$71:$C$790,"&gt;="&amp;'Assumptions &amp; Data'!$C$62)</f>
        <v>705.548435593747</v>
      </c>
      <c r="H114" s="49" t="n">
        <f aca="false">SUMIFS('Financial Analysis'!$G$71:$G$790,'Financial Analysis'!$B$71:$B$790,$A114,'Financial Analysis'!$C$71:$C$790,"&gt;="&amp;'Assumptions &amp; Data'!$C$62)/SUMIFS('Financial Analysis'!$F$71:$F$790,'Financial Analysis'!$B$71:$B$790,$A114,'Financial Analysis'!$C$71:$C$790,"&gt;="&amp;'Assumptions &amp; Data'!$C$62)</f>
        <v>0.0513738909235675</v>
      </c>
      <c r="I114" s="49" t="n">
        <f aca="false">SUMIFS('Financial Analysis'!$L$71:$L$790,'Financial Analysis'!$B$71:$B$790,$A114,'Financial Analysis'!$C$71:$C$790,"&gt;="&amp;'Assumptions &amp; Data'!$C$62)/SUMIFS('Financial Analysis'!$H$71:$H$790,'Financial Analysis'!$B$71:$B$790,$A114,'Financial Analysis'!$C$71:$C$790,"&gt;="&amp;'Assumptions &amp; Data'!$C$62)</f>
        <v>0.0198718190864714</v>
      </c>
      <c r="J114" s="40" t="n">
        <f aca="false">SUMIFS('Financial Analysis'!$N$71:$N$790,'Financial Analysis'!$B$71:$B$790,$A114,'Financial Analysis'!$C$71:$C$790,"&gt;="&amp;'Assumptions &amp; Data'!$C$62)/SUMIFS('Financial Analysis'!$E$71:$E$790,'Financial Analysis'!$B$71:$B$790,$A114,'Financial Analysis'!$C$71:$C$790,"&gt;="&amp;'Assumptions &amp; Data'!$C$62)</f>
        <v>35.7121124220449</v>
      </c>
      <c r="K114" s="40" t="n">
        <f aca="false">SUMIFS('Financial Analysis'!$R$71:$R$790,'Financial Analysis'!$B$71:$B$790,$A114,'Financial Analysis'!$C$71:$C$790,"&gt;="&amp;'Assumptions &amp; Data'!$C$62)/AVERAGEIFS('Assumptions &amp; Data'!$M$205:$M$924,'Assumptions &amp; Data'!$B$205:$B$924,$A114,'Assumptions &amp; Data'!$C$205:$C$924,"&gt;="&amp;'Assumptions &amp; Data'!$C$62)/'Assumptions &amp; Data'!$C$85</f>
        <v>43.3339310713668</v>
      </c>
      <c r="L114" s="40" t="n">
        <f aca="false">E114/K114</f>
        <v>33.1016336985703</v>
      </c>
      <c r="M114" s="40" t="n">
        <f aca="false">SUMIFS('Financial Analysis'!$Q$71:$Q$790,'Financial Analysis'!$B$71:$B$790,$A114,'Financial Analysis'!$C$71:$C$790,"&gt;="&amp;'Assumptions &amp; Data'!$C$62)/SUMIFS('Financial Analysis'!$E$71:$E$790,'Financial Analysis'!$B$71:$B$790,$A114,'Financial Analysis'!$C$71:$C$790,"&gt;="&amp;'Assumptions &amp; Data'!$C$62)</f>
        <v>79.8921009153872</v>
      </c>
      <c r="N114" s="40" t="n">
        <f aca="false">SUMIFS('Financial Analysis'!$Y$71:$Y$790,'Financial Analysis'!$B$71:$B$790,$A114,'Financial Analysis'!$C$71:$C$790,"&gt;="&amp;'Assumptions &amp; Data'!$C$62)/'Assumptions &amp; Data'!$C$85/100000</f>
        <v>19.6425233333333</v>
      </c>
      <c r="O114" s="40" t="n">
        <f aca="false">SUMIFS('Financial Analysis'!$V$71:$V$790,'Financial Analysis'!$B$71:$B$790,$A114,'Financial Analysis'!$C$71:$C$790,"&gt;="&amp;'Assumptions &amp; Data'!$C$62)/'Assumptions &amp; Data'!$C$85/100000</f>
        <v>15.5012129383363</v>
      </c>
      <c r="P114" s="49" t="n">
        <f aca="false">O114/F114</f>
        <v>0.0526501588757983</v>
      </c>
      <c r="Q114" s="39" t="n">
        <f aca="false">IF(M114&gt;0,N114*100000/(M114*'Assumptions &amp; Data'!$C$63/'Assumptions &amp; Data'!$C$85),9999)</f>
        <v>801.727652519434</v>
      </c>
      <c r="R114" s="49" t="n">
        <f aca="false">E114/Q114-1</f>
        <v>0.789166069719302</v>
      </c>
      <c r="S114" s="50" t="n">
        <f aca="false">'Assumptions &amp; Data'!E150</f>
        <v>37.6</v>
      </c>
      <c r="T114" s="50" t="n">
        <f aca="false">'Assumptions &amp; Data'!G150</f>
        <v>3</v>
      </c>
      <c r="U114" s="49" t="n">
        <f aca="false">MAX(0,('Assumptions &amp; Data'!$C$72-T114)/'Assumptions &amp; Data'!$C$72)*'Assumptions &amp; Data'!$C$73</f>
        <v>0</v>
      </c>
      <c r="V114" s="39" t="n">
        <f aca="false">S114*$B$6*(1-U114)</f>
        <v>1339.36936689148</v>
      </c>
      <c r="W114" s="49" t="n">
        <f aca="false">V114/E114-1</f>
        <v>-0.0662667049033773</v>
      </c>
      <c r="X114" s="39" t="n">
        <f aca="false">IF(D114&gt;='Assumptions &amp; Data'!$C$64,1,0)</f>
        <v>1</v>
      </c>
      <c r="Y114" s="40" t="n">
        <f aca="false">IF(AND(X114=1,T114&gt;='Assumptions &amp; Data'!$C$72),E114/S114,"")</f>
        <v>38.1495721554117</v>
      </c>
      <c r="Z114" s="49" t="n">
        <f aca="false">IF(X114=1,H114,"")</f>
        <v>0.0513738909235675</v>
      </c>
      <c r="AA114" s="49" t="n">
        <f aca="false">IF(X114=1,I114,"")</f>
        <v>0.0198718190864714</v>
      </c>
      <c r="AB114" s="40" t="n">
        <f aca="false">IF(X114=1,J114,"")</f>
        <v>35.7121124220449</v>
      </c>
      <c r="AC114" s="40" t="n">
        <f aca="false">IF(X114=1,L114,"")</f>
        <v>33.1016336985703</v>
      </c>
      <c r="AD114" s="40" t="n">
        <f aca="false">IF(X114=1,AP114/E114*100,"")</f>
        <v>278.857593186175</v>
      </c>
      <c r="AE114" s="40" t="n">
        <f aca="false">IF(X114=1,M114,"")</f>
        <v>79.8921009153872</v>
      </c>
      <c r="AF114" s="40" t="n">
        <f aca="false">E114*'Assumptions &amp; Data'!$C$63/'Assumptions &amp; Data'!$C$85*G114/100000</f>
        <v>310.363701333333</v>
      </c>
      <c r="AG114" s="49" t="n">
        <f aca="false">MAX(0,H114-$B$7)</f>
        <v>0</v>
      </c>
      <c r="AH114" s="40" t="n">
        <f aca="false">AG114*AF114</f>
        <v>0</v>
      </c>
      <c r="AI114" s="40" t="n">
        <f aca="false">AG114*100*E114*'Assumptions &amp; Data'!$C$63/'Assumptions &amp; Data'!$C$85*M114/100000</f>
        <v>0</v>
      </c>
      <c r="AJ114" s="49" t="n">
        <f aca="false">MAX(0,I114-$B$8)</f>
        <v>0</v>
      </c>
      <c r="AK114" s="40" t="n">
        <f aca="false">AJ114*F114</f>
        <v>0</v>
      </c>
      <c r="AL114" s="40" t="n">
        <f aca="false">MAX(0,K114-E114/$B$10)</f>
        <v>5.7521386253586</v>
      </c>
      <c r="AM114" s="40" t="n">
        <f aca="false">AL114*BN114/K114</f>
        <v>1.21893569609974</v>
      </c>
      <c r="AN114" s="40" t="n">
        <f aca="false">MAX(0,J114-$B$9)</f>
        <v>0</v>
      </c>
      <c r="AO114" s="40" t="n">
        <f aca="false">AN114*E114*'Assumptions &amp; Data'!$C$63/'Assumptions &amp; Data'!$C$85/100000</f>
        <v>0</v>
      </c>
      <c r="AP114" s="37" t="n">
        <f aca="false">'Assumptions &amp; Data'!H150</f>
        <v>4000</v>
      </c>
      <c r="AQ114" s="39" t="n">
        <f aca="false">MIN(AP114,$B$11*E114/100)</f>
        <v>4000</v>
      </c>
      <c r="AR114" s="39" t="n">
        <f aca="false">IF(AP114-AQ114&gt;'Assumptions &amp; Data'!$C$78*AP114,AP114-AQ114,0)</f>
        <v>0</v>
      </c>
      <c r="AS114" s="50" t="n">
        <f aca="false">'Assumptions &amp; Data'!I150</f>
        <v>164</v>
      </c>
      <c r="AT114" s="40" t="n">
        <f aca="false">INDEX('Assumptions &amp; Data'!$B$89:$E$94,MATCH(B114,'Assumptions &amp; Data'!$A$89:$A$94,0),MATCH(C114,'Assumptions &amp; Data'!$B$88:$E$88,0))</f>
        <v>143</v>
      </c>
      <c r="AU114" s="39" t="n">
        <f aca="false">IF(BY114&lt;='Assumptions &amp; Data'!$C$79,1,0)</f>
        <v>1</v>
      </c>
      <c r="AV114" s="40" t="n">
        <f aca="false">AU114*(AR114*AS114+MAX(0,AS114-AT114)*(AP114-AR114))/100000</f>
        <v>0.84</v>
      </c>
      <c r="AW114" s="40" t="n">
        <f aca="false">'Assumptions &amp; Data'!$C$67*(AH114-'Assumptions &amp; Data'!$C$68*AI114+AK114+AM114+AO114+AV114)</f>
        <v>1.23536141765985</v>
      </c>
      <c r="AX114" s="40" t="n">
        <f aca="false">O114+AW114</f>
        <v>16.7365743559962</v>
      </c>
      <c r="AY114" s="49" t="n">
        <f aca="false">IF(D114&lt;'Assumptions &amp; Data'!$C$64,'Assumptions &amp; Data'!$C$70,'Assumptions &amp; Data'!$C$69)</f>
        <v>0.5</v>
      </c>
      <c r="AZ114" s="40" t="n">
        <f aca="false">AY114*MAX(0,V114-E114)*'Assumptions &amp; Data'!$C$63/'Assumptions &amp; Data'!$C$85*(M114-'Assumptions &amp; Data'!$C$71)/100000</f>
        <v>0</v>
      </c>
      <c r="BA114" s="40" t="n">
        <f aca="false">AX114+AZ114</f>
        <v>16.7365743559962</v>
      </c>
      <c r="BB114" s="40" t="n">
        <f aca="false">BA114+(1-'Assumptions &amp; Data'!$C$67)*AV114</f>
        <v>17.0725743559962</v>
      </c>
      <c r="BC114" s="48" t="str">
        <f aca="false">'Assumptions &amp; Data'!F150</f>
        <v>DS014</v>
      </c>
      <c r="BD114" s="39" t="n">
        <f aca="false">INDEX('Assumptions &amp; Data'!$K$142:$K$201,MATCH(BC114,'Assumptions &amp; Data'!$A$142:$A$201,0))*'Assumptions &amp; Data'!$C$77</f>
        <v>1296</v>
      </c>
      <c r="BE114" s="39" t="n">
        <f aca="false">MAX(0,BD114-INDEX($E$106:$E$165,MATCH(BC114,$A$106:$A$165,0)))</f>
        <v>377.652173913044</v>
      </c>
      <c r="BF114" s="39" t="n">
        <f aca="false">IF(T114&lt;='Assumptions &amp; Data'!$C$74,MIN('Assumptions &amp; Data'!$C$76*E114,BE114),0)</f>
        <v>0</v>
      </c>
      <c r="BG114" s="40" t="n">
        <f aca="false">-O114+BF114*'Assumptions &amp; Data'!$C$63/'Assumptions &amp; Data'!$C$85*($B$12-'Assumptions &amp; Data'!$C$71)/100000</f>
        <v>-15.5012129383363</v>
      </c>
      <c r="BH114" s="40" t="n">
        <f aca="false">(AS114*AP114*BY114*'Assumptions &amp; Data'!$C$82+K114*(BN114*100000/K114)*'Assumptions &amp; Data'!$C$80*(1-'Assumptions &amp; Data'!$C$81)+AP114*'Assumptions &amp; Data'!$C$83)/100000</f>
        <v>42.584604</v>
      </c>
      <c r="BI114" s="40" t="n">
        <f aca="false">'Assumptions &amp; Data'!L150*MAX(0,1-D114/'Assumptions &amp; Data'!$C$84)</f>
        <v>69.6190476190476</v>
      </c>
      <c r="BJ114" s="40" t="n">
        <f aca="false">IF(BG114&gt;0,BH114/BG114,99)</f>
        <v>99</v>
      </c>
      <c r="BK114" s="2" t="str">
        <f aca="false">IF(AND(P114&gt;='Assumptions &amp; Data'!$C$65,R114&gt;=0,W114&gt;='Assumptions &amp; Data'!$C$66),"Scale",IF(OR(O114&gt;=0,AX114&gt;=0),"Optimise",IF(BA114&gt;=0,"Turn around",IF(BB114&gt;=0,"Relocate or resize",IF(AND(BF114&gt;0,BJ114&lt;='Assumptions &amp; Data'!$C$75,D114&gt;='Assumptions &amp; Data'!$C$64),"Close","Relocate or resize")))))</f>
        <v>Optimise</v>
      </c>
      <c r="BL114" s="42" t="str">
        <f aca="false">INDEX($BK$106:$BK$165,MATCH(BC114,$A$106:$A$165,0))</f>
        <v>Optimise</v>
      </c>
      <c r="BM114" s="42" t="str">
        <f aca="false">IF(RANK(P114,$P$106:$P$165)&lt;=ROUND(COUNT($P$106:$P$165)/4,0),"Q1 top",IF(RANK(P114,$P$106:$P$165)&gt;COUNT($P$106:$P$165)-ROUND(COUNT($P$106:$P$165)/4,0),"Q4 bottom","Q2-Q3 middle"))</f>
        <v>Q1 top</v>
      </c>
      <c r="BN114" s="40" t="n">
        <f aca="false">SUMIFS('Financial Analysis'!$R$71:$R$790,'Financial Analysis'!$B$71:$B$790,$A114,'Financial Analysis'!$C$71:$C$790,"&gt;="&amp;'Assumptions &amp; Data'!$C$62)/'Assumptions &amp; Data'!$C$85/100000</f>
        <v>9.18289333333333</v>
      </c>
      <c r="BO114" s="40" t="n">
        <f aca="false">SUMIFS('Financial Analysis'!$H$71:$H$790,'Financial Analysis'!$B$71:$B$790,$A114,'Financial Analysis'!$C$71:$C$790,"&gt;="&amp;'Assumptions &amp; Data'!$C$62)/SUMIFS('Financial Analysis'!$E$71:$E$790,'Financial Analysis'!$B$71:$B$790,$A114,'Financial Analysis'!$C$71:$C$790,"&gt;="&amp;'Assumptions &amp; Data'!$C$62)</f>
        <v>669.30166722226</v>
      </c>
      <c r="BP114" s="40" t="n">
        <f aca="false">(SUMIFS('Financial Analysis'!$I$71:$I$790,'Financial Analysis'!$B$71:$B$790,$A114,'Financial Analysis'!$C$71:$C$790,"&gt;="&amp;'Assumptions &amp; Data'!$C$62)+SUMIFS('Financial Analysis'!$J$71:$J$790,'Financial Analysis'!$B$71:$B$790,$A114,'Financial Analysis'!$C$71:$C$790,"&gt;="&amp;'Assumptions &amp; Data'!$C$62)+SUMIFS('Financial Analysis'!$K$71:$K$790,'Financial Analysis'!$B$71:$B$790,$A114,'Financial Analysis'!$C$71:$C$790,"&gt;="&amp;'Assumptions &amp; Data'!$C$62))/SUMIFS('Financial Analysis'!$E$71:$E$790,'Financial Analysis'!$B$71:$B$790,$A114,'Financial Analysis'!$C$71:$C$790,"&gt;="&amp;'Assumptions &amp; Data'!$C$62)</f>
        <v>145.825069530476</v>
      </c>
      <c r="BQ114" s="40" t="n">
        <f aca="false">SUMIFS('Financial Analysis'!$L$71:$L$790,'Financial Analysis'!$B$71:$B$790,$A114,'Financial Analysis'!$C$71:$C$790,"&gt;="&amp;'Assumptions &amp; Data'!$C$62)/SUMIFS('Financial Analysis'!$E$71:$E$790,'Financial Analysis'!$B$71:$B$790,$A114,'Financial Analysis'!$C$71:$C$790,"&gt;="&amp;'Assumptions &amp; Data'!$C$62)</f>
        <v>13.3002416453144</v>
      </c>
      <c r="BR114" s="40" t="n">
        <f aca="false">SUMIFS('Financial Analysis'!$L$71:$L$790,'Financial Analysis'!$B$71:$B$790,$A114,'Financial Analysis'!$C$71:$C$790,"&gt;="&amp;'Assumptions &amp; Data'!$C$62)/SUMIFS('Financial Analysis'!$E$71:$E$790,'Financial Analysis'!$B$71:$B$790,$A114,'Financial Analysis'!$C$71:$C$790,"&gt;="&amp;'Assumptions &amp; Data'!$C$62)</f>
        <v>13.3002416453144</v>
      </c>
      <c r="BS114" s="40" t="n">
        <f aca="false">SUMIFS('Financial Analysis'!$N$71:$N$790,'Financial Analysis'!$B$71:$B$790,$A114,'Financial Analysis'!$C$71:$C$790,"&gt;="&amp;'Assumptions &amp; Data'!$C$62)/SUMIFS('Financial Analysis'!$E$71:$E$790,'Financial Analysis'!$B$71:$B$790,$A114,'Financial Analysis'!$C$71:$C$790,"&gt;="&amp;'Assumptions &amp; Data'!$C$62)</f>
        <v>35.7121124220449</v>
      </c>
      <c r="BT114" s="40" t="n">
        <f aca="false">(SUMIFS('Financial Analysis'!$O$71:$O$790,'Financial Analysis'!$B$71:$B$790,$A114,'Financial Analysis'!$C$71:$C$790,"&gt;="&amp;'Assumptions &amp; Data'!$C$62)+SUMIFS('Financial Analysis'!$P$71:$P$790,'Financial Analysis'!$B$71:$B$790,$A114,'Financial Analysis'!$C$71:$C$790,"&gt;="&amp;'Assumptions &amp; Data'!$C$62))/SUMIFS('Financial Analysis'!$E$71:$E$790,'Financial Analysis'!$B$71:$B$790,$A114,'Financial Analysis'!$C$71:$C$790,"&gt;="&amp;'Assumptions &amp; Data'!$C$62)</f>
        <v>16.9206145477294</v>
      </c>
      <c r="BU114" s="40" t="n">
        <f aca="false">SUMIFS('Financial Analysis'!$R$71:$R$790,'Financial Analysis'!$B$71:$B$790,$A114,'Financial Analysis'!$C$71:$C$790,"&gt;="&amp;'Assumptions &amp; Data'!$C$62)/SUMIFS('Financial Analysis'!$E$71:$E$790,'Financial Analysis'!$B$71:$B$790,$A114,'Financial Analysis'!$C$71:$C$790,"&gt;="&amp;'Assumptions &amp; Data'!$C$62)</f>
        <v>20.8754309789569</v>
      </c>
      <c r="BV114" s="40" t="n">
        <f aca="false">SUMIFS('Financial Analysis'!$S$71:$S$790,'Financial Analysis'!$B$71:$B$790,$A114,'Financial Analysis'!$C$71:$C$790,"&gt;="&amp;'Assumptions &amp; Data'!$C$62)/SUMIFS('Financial Analysis'!$E$71:$E$790,'Financial Analysis'!$B$71:$B$790,$A114,'Financial Analysis'!$C$71:$C$790,"&gt;="&amp;'Assumptions &amp; Data'!$C$62)</f>
        <v>14.9128191138694</v>
      </c>
      <c r="BW114" s="40" t="n">
        <f aca="false">(SUMIFS('Financial Analysis'!$T$71:$T$790,'Financial Analysis'!$B$71:$B$790,$A114,'Financial Analysis'!$C$71:$C$790,"&gt;="&amp;'Assumptions &amp; Data'!$C$62)+SUMIFS('Financial Analysis'!$U$71:$U$790,'Financial Analysis'!$B$71:$B$790,$A114,'Financial Analysis'!$C$71:$C$790,"&gt;="&amp;'Assumptions &amp; Data'!$C$62))/SUMIFS('Financial Analysis'!$E$71:$E$790,'Financial Analysis'!$B$71:$B$790,$A114,'Financial Analysis'!$C$71:$C$790,"&gt;="&amp;'Assumptions &amp; Data'!$C$62)</f>
        <v>8.86501170747232</v>
      </c>
      <c r="BX114" s="40" t="n">
        <f aca="false">SUMIFS('Financial Analysis'!$V$71:$V$790,'Financial Analysis'!$B$71:$B$790,$A114,'Financial Analysis'!$C$71:$C$790,"&gt;="&amp;'Assumptions &amp; Data'!$C$62)/SUMIFS('Financial Analysis'!$E$71:$E$790,'Financial Analysis'!$B$71:$B$790,$A114,'Financial Analysis'!$C$71:$C$790,"&gt;="&amp;'Assumptions &amp; Data'!$C$62)</f>
        <v>35.2388391150886</v>
      </c>
      <c r="BY114" s="37" t="n">
        <f aca="false">'Assumptions &amp; Data'!J150</f>
        <v>9</v>
      </c>
      <c r="BZ114" s="39" t="str">
        <f aca="false">IF(BK114="Close",COUNTIF($BK$106:BK114,"Close"),"")</f>
        <v/>
      </c>
    </row>
    <row r="115" customFormat="false" ht="15" hidden="false" customHeight="false" outlineLevel="0" collapsed="false">
      <c r="A115" s="48" t="str">
        <f aca="false">'Assumptions &amp; Data'!A151</f>
        <v>DS010</v>
      </c>
      <c r="B115" s="48" t="str">
        <f aca="false">'Assumptions &amp; Data'!B151</f>
        <v>Delhi NCR</v>
      </c>
      <c r="C115" s="48" t="str">
        <f aca="false">'Assumptions &amp; Data'!C151</f>
        <v>Dense residential</v>
      </c>
      <c r="D115" s="37" t="n">
        <f aca="false">'Assumptions &amp; Data'!D151</f>
        <v>24</v>
      </c>
      <c r="E115" s="39" t="n">
        <f aca="false">SUMIFS('Financial Analysis'!$E$71:$E$790,'Financial Analysis'!$B$71:$B$790,$A115,'Financial Analysis'!$C$71:$C$790,"&gt;="&amp;'Assumptions &amp; Data'!$C$62)/'Assumptions &amp; Data'!$C$63</f>
        <v>1796.78260869565</v>
      </c>
      <c r="F115" s="40" t="n">
        <f aca="false">SUMIFS('Financial Analysis'!$H$71:$H$790,'Financial Analysis'!$B$71:$B$790,$A115,'Financial Analysis'!$C$71:$C$790,"&gt;="&amp;'Assumptions &amp; Data'!$C$62)/'Assumptions &amp; Data'!$C$85/100000</f>
        <v>349.741850773667</v>
      </c>
      <c r="G115" s="40" t="n">
        <f aca="false">SUMIFS('Financial Analysis'!$F$71:$F$790,'Financial Analysis'!$B$71:$B$790,$A115,'Financial Analysis'!$C$71:$C$790,"&gt;="&amp;'Assumptions &amp; Data'!$C$62)/SUMIFS('Financial Analysis'!$E$71:$E$790,'Financial Analysis'!$B$71:$B$790,$A115,'Financial Analysis'!$C$71:$C$790,"&gt;="&amp;'Assumptions &amp; Data'!$C$62)</f>
        <v>668.660003992644</v>
      </c>
      <c r="H115" s="49" t="n">
        <f aca="false">SUMIFS('Financial Analysis'!$G$71:$G$790,'Financial Analysis'!$B$71:$B$790,$A115,'Financial Analysis'!$C$71:$C$790,"&gt;="&amp;'Assumptions &amp; Data'!$C$62)/SUMIFS('Financial Analysis'!$F$71:$F$790,'Financial Analysis'!$B$71:$B$790,$A115,'Financial Analysis'!$C$71:$C$790,"&gt;="&amp;'Assumptions &amp; Data'!$C$62)</f>
        <v>0.0507509976545444</v>
      </c>
      <c r="I115" s="49" t="n">
        <f aca="false">SUMIFS('Financial Analysis'!$L$71:$L$790,'Financial Analysis'!$B$71:$B$790,$A115,'Financial Analysis'!$C$71:$C$790,"&gt;="&amp;'Assumptions &amp; Data'!$C$62)/SUMIFS('Financial Analysis'!$H$71:$H$790,'Financial Analysis'!$B$71:$B$790,$A115,'Financial Analysis'!$C$71:$C$790,"&gt;="&amp;'Assumptions &amp; Data'!$C$62)</f>
        <v>0.0309686623838447</v>
      </c>
      <c r="J115" s="40" t="n">
        <f aca="false">SUMIFS('Financial Analysis'!$N$71:$N$790,'Financial Analysis'!$B$71:$B$790,$A115,'Financial Analysis'!$C$71:$C$790,"&gt;="&amp;'Assumptions &amp; Data'!$C$62)/SUMIFS('Financial Analysis'!$E$71:$E$790,'Financial Analysis'!$B$71:$B$790,$A115,'Financial Analysis'!$C$71:$C$790,"&gt;="&amp;'Assumptions &amp; Data'!$C$62)</f>
        <v>38.1173297076901</v>
      </c>
      <c r="K115" s="40" t="n">
        <f aca="false">SUMIFS('Financial Analysis'!$R$71:$R$790,'Financial Analysis'!$B$71:$B$790,$A115,'Financial Analysis'!$C$71:$C$790,"&gt;="&amp;'Assumptions &amp; Data'!$C$62)/AVERAGEIFS('Assumptions &amp; Data'!$M$205:$M$924,'Assumptions &amp; Data'!$B$205:$B$924,$A115,'Assumptions &amp; Data'!$C$205:$C$924,"&gt;="&amp;'Assumptions &amp; Data'!$C$62)/'Assumptions &amp; Data'!$C$85</f>
        <v>50.3333333333333</v>
      </c>
      <c r="L115" s="40" t="n">
        <f aca="false">E115/K115</f>
        <v>35.6976677224302</v>
      </c>
      <c r="M115" s="40" t="n">
        <f aca="false">SUMIFS('Financial Analysis'!$Q$71:$Q$790,'Financial Analysis'!$B$71:$B$790,$A115,'Financial Analysis'!$C$71:$C$790,"&gt;="&amp;'Assumptions &amp; Data'!$C$62)/SUMIFS('Financial Analysis'!$E$71:$E$790,'Financial Analysis'!$B$71:$B$790,$A115,'Financial Analysis'!$C$71:$C$790,"&gt;="&amp;'Assumptions &amp; Data'!$C$62)</f>
        <v>65.4592814829056</v>
      </c>
      <c r="N115" s="40" t="n">
        <f aca="false">SUMIFS('Financial Analysis'!$Y$71:$Y$790,'Financial Analysis'!$B$71:$B$790,$A115,'Financial Analysis'!$C$71:$C$790,"&gt;="&amp;'Assumptions &amp; Data'!$C$62)/'Assumptions &amp; Data'!$C$85/100000</f>
        <v>21.0906466666667</v>
      </c>
      <c r="O115" s="40" t="n">
        <f aca="false">SUMIFS('Financial Analysis'!$V$71:$V$790,'Financial Analysis'!$B$71:$B$790,$A115,'Financial Analysis'!$C$71:$C$790,"&gt;="&amp;'Assumptions &amp; Data'!$C$62)/'Assumptions &amp; Data'!$C$85/100000</f>
        <v>14.9782902208341</v>
      </c>
      <c r="P115" s="49" t="n">
        <f aca="false">O115/F115</f>
        <v>0.0428267025742001</v>
      </c>
      <c r="Q115" s="39" t="n">
        <f aca="false">IF(M115&gt;0,N115*100000/(M115*'Assumptions &amp; Data'!$C$63/'Assumptions &amp; Data'!$C$85),9999)</f>
        <v>1050.63554423595</v>
      </c>
      <c r="R115" s="49" t="n">
        <f aca="false">E115/Q115-1</f>
        <v>0.710186390088597</v>
      </c>
      <c r="S115" s="50" t="n">
        <f aca="false">'Assumptions &amp; Data'!E151</f>
        <v>51.5</v>
      </c>
      <c r="T115" s="50" t="n">
        <f aca="false">'Assumptions &amp; Data'!G151</f>
        <v>3.4</v>
      </c>
      <c r="U115" s="49" t="n">
        <f aca="false">MAX(0,('Assumptions &amp; Data'!$C$72-T115)/'Assumptions &amp; Data'!$C$72)*'Assumptions &amp; Data'!$C$73</f>
        <v>0</v>
      </c>
      <c r="V115" s="39" t="n">
        <f aca="false">S115*$B$6*(1-U115)</f>
        <v>1834.50857433274</v>
      </c>
      <c r="W115" s="49" t="n">
        <f aca="false">V115/E115-1</f>
        <v>0.0209963995947609</v>
      </c>
      <c r="X115" s="39" t="n">
        <f aca="false">IF(D115&gt;='Assumptions &amp; Data'!$C$64,1,0)</f>
        <v>1</v>
      </c>
      <c r="Y115" s="40" t="n">
        <f aca="false">IF(AND(X115=1,T115&gt;='Assumptions &amp; Data'!$C$72),E115/S115,"")</f>
        <v>34.8889826931195</v>
      </c>
      <c r="Z115" s="49" t="n">
        <f aca="false">IF(X115=1,H115,"")</f>
        <v>0.0507509976545444</v>
      </c>
      <c r="AA115" s="49" t="n">
        <f aca="false">IF(X115=1,I115,"")</f>
        <v>0.0309686623838447</v>
      </c>
      <c r="AB115" s="40" t="n">
        <f aca="false">IF(X115=1,J115,"")</f>
        <v>38.1173297076901</v>
      </c>
      <c r="AC115" s="40" t="n">
        <f aca="false">IF(X115=1,L115,"")</f>
        <v>35.6976677224302</v>
      </c>
      <c r="AD115" s="40" t="n">
        <f aca="false">IF(X115=1,AP115/E115*100,"")</f>
        <v>250.447660068722</v>
      </c>
      <c r="AE115" s="40" t="n">
        <f aca="false">IF(X115=1,M115,"")</f>
        <v>65.4592814829056</v>
      </c>
      <c r="AF115" s="40" t="n">
        <f aca="false">E115*'Assumptions &amp; Data'!$C$63/'Assumptions &amp; Data'!$C$85*G115/100000</f>
        <v>368.440577666667</v>
      </c>
      <c r="AG115" s="49" t="n">
        <f aca="false">MAX(0,H115-$B$7)</f>
        <v>0</v>
      </c>
      <c r="AH115" s="40" t="n">
        <f aca="false">AG115*AF115</f>
        <v>0</v>
      </c>
      <c r="AI115" s="40" t="n">
        <f aca="false">AG115*100*E115*'Assumptions &amp; Data'!$C$63/'Assumptions &amp; Data'!$C$85*M115/100000</f>
        <v>0</v>
      </c>
      <c r="AJ115" s="49" t="n">
        <f aca="false">MAX(0,I115-$B$8)</f>
        <v>0.00956406867355757</v>
      </c>
      <c r="AK115" s="40" t="n">
        <f aca="false">AJ115*F115</f>
        <v>3.34495507881647</v>
      </c>
      <c r="AL115" s="40" t="n">
        <f aca="false">MAX(0,K115-E115/$B$10)</f>
        <v>3.25777187861409</v>
      </c>
      <c r="AM115" s="40" t="n">
        <f aca="false">AL115*BN115/K115</f>
        <v>0.690354438797111</v>
      </c>
      <c r="AN115" s="40" t="n">
        <f aca="false">MAX(0,J115-$B$9)</f>
        <v>0</v>
      </c>
      <c r="AO115" s="40" t="n">
        <f aca="false">AN115*E115*'Assumptions &amp; Data'!$C$63/'Assumptions &amp; Data'!$C$85/100000</f>
        <v>0</v>
      </c>
      <c r="AP115" s="37" t="n">
        <f aca="false">'Assumptions &amp; Data'!H151</f>
        <v>4500</v>
      </c>
      <c r="AQ115" s="39" t="n">
        <f aca="false">MIN(AP115,$B$11*E115/100)</f>
        <v>4500</v>
      </c>
      <c r="AR115" s="39" t="n">
        <f aca="false">IF(AP115-AQ115&gt;'Assumptions &amp; Data'!$C$78*AP115,AP115-AQ115,0)</f>
        <v>0</v>
      </c>
      <c r="AS115" s="50" t="n">
        <f aca="false">'Assumptions &amp; Data'!I151</f>
        <v>122</v>
      </c>
      <c r="AT115" s="40" t="n">
        <f aca="false">INDEX('Assumptions &amp; Data'!$B$89:$E$94,MATCH(B115,'Assumptions &amp; Data'!$A$89:$A$94,0),MATCH(C115,'Assumptions &amp; Data'!$B$88:$E$88,0))</f>
        <v>143</v>
      </c>
      <c r="AU115" s="39" t="n">
        <f aca="false">IF(BY115&lt;='Assumptions &amp; Data'!$C$79,1,0)</f>
        <v>1</v>
      </c>
      <c r="AV115" s="40" t="n">
        <f aca="false">AU115*(AR115*AS115+MAX(0,AS115-AT115)*(AP115-AR115))/100000</f>
        <v>0</v>
      </c>
      <c r="AW115" s="40" t="n">
        <f aca="false">'Assumptions &amp; Data'!$C$67*(AH115-'Assumptions &amp; Data'!$C$68*AI115+AK115+AM115+AO115+AV115)</f>
        <v>2.42118571056815</v>
      </c>
      <c r="AX115" s="40" t="n">
        <f aca="false">O115+AW115</f>
        <v>17.3994759314023</v>
      </c>
      <c r="AY115" s="49" t="n">
        <f aca="false">IF(D115&lt;'Assumptions &amp; Data'!$C$64,'Assumptions &amp; Data'!$C$70,'Assumptions &amp; Data'!$C$69)</f>
        <v>0.5</v>
      </c>
      <c r="AZ115" s="40" t="n">
        <f aca="false">AY115*MAX(0,V115-E115)*'Assumptions &amp; Data'!$C$63/'Assumptions &amp; Data'!$C$85*(M115-'Assumptions &amp; Data'!$C$71)/100000</f>
        <v>0.320812425280548</v>
      </c>
      <c r="BA115" s="40" t="n">
        <f aca="false">AX115+AZ115</f>
        <v>17.7202883566828</v>
      </c>
      <c r="BB115" s="40" t="n">
        <f aca="false">BA115+(1-'Assumptions &amp; Data'!$C$67)*AV115</f>
        <v>17.7202883566828</v>
      </c>
      <c r="BC115" s="48" t="str">
        <f aca="false">'Assumptions &amp; Data'!F151</f>
        <v>DS007</v>
      </c>
      <c r="BD115" s="39" t="n">
        <f aca="false">INDEX('Assumptions &amp; Data'!$K$142:$K$201,MATCH(BC115,'Assumptions &amp; Data'!$A$142:$A$201,0))*'Assumptions &amp; Data'!$C$77</f>
        <v>1458</v>
      </c>
      <c r="BE115" s="39" t="n">
        <f aca="false">MAX(0,BD115-INDEX($E$106:$E$165,MATCH(BC115,$A$106:$A$165,0)))</f>
        <v>1206.55434782609</v>
      </c>
      <c r="BF115" s="39" t="n">
        <f aca="false">IF(T115&lt;='Assumptions &amp; Data'!$C$74,MIN('Assumptions &amp; Data'!$C$76*E115,BE115),0)</f>
        <v>0</v>
      </c>
      <c r="BG115" s="40" t="n">
        <f aca="false">-O115+BF115*'Assumptions &amp; Data'!$C$63/'Assumptions &amp; Data'!$C$85*($B$12-'Assumptions &amp; Data'!$C$71)/100000</f>
        <v>-14.9782902208341</v>
      </c>
      <c r="BH115" s="40" t="n">
        <f aca="false">(AS115*AP115*BY115*'Assumptions &amp; Data'!$C$82+K115*(BN115*100000/K115)*'Assumptions &amp; Data'!$C$80*(1-'Assumptions &amp; Data'!$C$81)+AP115*'Assumptions &amp; Data'!$C$83)/100000</f>
        <v>39.704523</v>
      </c>
      <c r="BI115" s="40" t="n">
        <f aca="false">'Assumptions &amp; Data'!L151*MAX(0,1-D115/'Assumptions &amp; Data'!$C$84)</f>
        <v>109.285714285714</v>
      </c>
      <c r="BJ115" s="40" t="n">
        <f aca="false">IF(BG115&gt;0,BH115/BG115,99)</f>
        <v>99</v>
      </c>
      <c r="BK115" s="2" t="str">
        <f aca="false">IF(AND(P115&gt;='Assumptions &amp; Data'!$C$65,R115&gt;=0,W115&gt;='Assumptions &amp; Data'!$C$66),"Scale",IF(OR(O115&gt;=0,AX115&gt;=0),"Optimise",IF(BA115&gt;=0,"Turn around",IF(BB115&gt;=0,"Relocate or resize",IF(AND(BF115&gt;0,BJ115&lt;='Assumptions &amp; Data'!$C$75,D115&gt;='Assumptions &amp; Data'!$C$64),"Close","Relocate or resize")))))</f>
        <v>Optimise</v>
      </c>
      <c r="BL115" s="42" t="str">
        <f aca="false">INDEX($BK$106:$BK$165,MATCH(BC115,$A$106:$A$165,0))</f>
        <v>Relocate or resize</v>
      </c>
      <c r="BM115" s="42" t="str">
        <f aca="false">IF(RANK(P115,$P$106:$P$165)&lt;=ROUND(COUNT($P$106:$P$165)/4,0),"Q1 top",IF(RANK(P115,$P$106:$P$165)&gt;COUNT($P$106:$P$165)-ROUND(COUNT($P$106:$P$165)/4,0),"Q4 bottom","Q2-Q3 middle"))</f>
        <v>Q1 top</v>
      </c>
      <c r="BN115" s="40" t="n">
        <f aca="false">SUMIFS('Financial Analysis'!$R$71:$R$790,'Financial Analysis'!$B$71:$B$790,$A115,'Financial Analysis'!$C$71:$C$790,"&gt;="&amp;'Assumptions &amp; Data'!$C$62)/'Assumptions &amp; Data'!$C$85/100000</f>
        <v>10.6661366666667</v>
      </c>
      <c r="BO115" s="40" t="n">
        <f aca="false">SUMIFS('Financial Analysis'!$H$71:$H$790,'Financial Analysis'!$B$71:$B$790,$A115,'Financial Analysis'!$C$71:$C$790,"&gt;="&amp;'Assumptions &amp; Data'!$C$62)/SUMIFS('Financial Analysis'!$E$71:$E$790,'Financial Analysis'!$B$71:$B$790,$A115,'Financial Analysis'!$C$71:$C$790,"&gt;="&amp;'Assumptions &amp; Data'!$C$62)</f>
        <v>634.724841698326</v>
      </c>
      <c r="BP115" s="40" t="n">
        <f aca="false">(SUMIFS('Financial Analysis'!$I$71:$I$790,'Financial Analysis'!$B$71:$B$790,$A115,'Financial Analysis'!$C$71:$C$790,"&gt;="&amp;'Assumptions &amp; Data'!$C$62)+SUMIFS('Financial Analysis'!$J$71:$J$790,'Financial Analysis'!$B$71:$B$790,$A115,'Financial Analysis'!$C$71:$C$790,"&gt;="&amp;'Assumptions &amp; Data'!$C$62)+SUMIFS('Financial Analysis'!$K$71:$K$790,'Financial Analysis'!$B$71:$B$790,$A115,'Financial Analysis'!$C$71:$C$790,"&gt;="&amp;'Assumptions &amp; Data'!$C$62))/SUMIFS('Financial Analysis'!$E$71:$E$790,'Financial Analysis'!$B$71:$B$790,$A115,'Financial Analysis'!$C$71:$C$790,"&gt;="&amp;'Assumptions &amp; Data'!$C$62)</f>
        <v>139.745244091521</v>
      </c>
      <c r="BQ115" s="40" t="n">
        <f aca="false">SUMIFS('Financial Analysis'!$L$71:$L$790,'Financial Analysis'!$B$71:$B$790,$A115,'Financial Analysis'!$C$71:$C$790,"&gt;="&amp;'Assumptions &amp; Data'!$C$62)/SUMIFS('Financial Analysis'!$E$71:$E$790,'Financial Analysis'!$B$71:$B$790,$A115,'Financial Analysis'!$C$71:$C$790,"&gt;="&amp;'Assumptions &amp; Data'!$C$62)</f>
        <v>19.6565793291947</v>
      </c>
      <c r="BR115" s="40" t="n">
        <f aca="false">SUMIFS('Financial Analysis'!$L$71:$L$790,'Financial Analysis'!$B$71:$B$790,$A115,'Financial Analysis'!$C$71:$C$790,"&gt;="&amp;'Assumptions &amp; Data'!$C$62)/SUMIFS('Financial Analysis'!$E$71:$E$790,'Financial Analysis'!$B$71:$B$790,$A115,'Financial Analysis'!$C$71:$C$790,"&gt;="&amp;'Assumptions &amp; Data'!$C$62)</f>
        <v>19.6565793291947</v>
      </c>
      <c r="BS115" s="40" t="n">
        <f aca="false">SUMIFS('Financial Analysis'!$N$71:$N$790,'Financial Analysis'!$B$71:$B$790,$A115,'Financial Analysis'!$C$71:$C$790,"&gt;="&amp;'Assumptions &amp; Data'!$C$62)/SUMIFS('Financial Analysis'!$E$71:$E$790,'Financial Analysis'!$B$71:$B$790,$A115,'Financial Analysis'!$C$71:$C$790,"&gt;="&amp;'Assumptions &amp; Data'!$C$62)</f>
        <v>38.1173297076901</v>
      </c>
      <c r="BT115" s="40" t="n">
        <f aca="false">(SUMIFS('Financial Analysis'!$O$71:$O$790,'Financial Analysis'!$B$71:$B$790,$A115,'Financial Analysis'!$C$71:$C$790,"&gt;="&amp;'Assumptions &amp; Data'!$C$62)+SUMIFS('Financial Analysis'!$P$71:$P$790,'Financial Analysis'!$B$71:$B$790,$A115,'Financial Analysis'!$C$71:$C$790,"&gt;="&amp;'Assumptions &amp; Data'!$C$62))/SUMIFS('Financial Analysis'!$E$71:$E$790,'Financial Analysis'!$B$71:$B$790,$A115,'Financial Analysis'!$C$71:$C$790,"&gt;="&amp;'Assumptions &amp; Data'!$C$62)</f>
        <v>16.5120535717309</v>
      </c>
      <c r="BU115" s="40" t="n">
        <f aca="false">SUMIFS('Financial Analysis'!$R$71:$R$790,'Financial Analysis'!$B$71:$B$790,$A115,'Financial Analysis'!$C$71:$C$790,"&gt;="&amp;'Assumptions &amp; Data'!$C$62)/SUMIFS('Financial Analysis'!$E$71:$E$790,'Financial Analysis'!$B$71:$B$790,$A115,'Financial Analysis'!$C$71:$C$790,"&gt;="&amp;'Assumptions &amp; Data'!$C$62)</f>
        <v>19.3573113778251</v>
      </c>
      <c r="BV115" s="40" t="n">
        <f aca="false">SUMIFS('Financial Analysis'!$S$71:$S$790,'Financial Analysis'!$B$71:$B$790,$A115,'Financial Analysis'!$C$71:$C$790,"&gt;="&amp;'Assumptions &amp; Data'!$C$62)/SUMIFS('Financial Analysis'!$E$71:$E$790,'Financial Analysis'!$B$71:$B$790,$A115,'Financial Analysis'!$C$71:$C$790,"&gt;="&amp;'Assumptions &amp; Data'!$C$62)</f>
        <v>9.96346125925568</v>
      </c>
      <c r="BW115" s="40" t="n">
        <f aca="false">(SUMIFS('Financial Analysis'!$T$71:$T$790,'Financial Analysis'!$B$71:$B$790,$A115,'Financial Analysis'!$C$71:$C$790,"&gt;="&amp;'Assumptions &amp; Data'!$C$62)+SUMIFS('Financial Analysis'!$U$71:$U$790,'Financial Analysis'!$B$71:$B$790,$A115,'Financial Analysis'!$C$71:$C$790,"&gt;="&amp;'Assumptions &amp; Data'!$C$62))/SUMIFS('Financial Analysis'!$E$71:$E$790,'Financial Analysis'!$B$71:$B$790,$A115,'Financial Analysis'!$C$71:$C$790,"&gt;="&amp;'Assumptions &amp; Data'!$C$62)</f>
        <v>8.95533683395441</v>
      </c>
      <c r="BX115" s="40" t="n">
        <f aca="false">SUMIFS('Financial Analysis'!$V$71:$V$790,'Financial Analysis'!$B$71:$B$790,$A115,'Financial Analysis'!$C$71:$C$790,"&gt;="&amp;'Assumptions &amp; Data'!$C$62)/SUMIFS('Financial Analysis'!$E$71:$E$790,'Financial Analysis'!$B$71:$B$790,$A115,'Financial Analysis'!$C$71:$C$790,"&gt;="&amp;'Assumptions &amp; Data'!$C$62)</f>
        <v>27.1831720118704</v>
      </c>
      <c r="BY115" s="37" t="n">
        <f aca="false">'Assumptions &amp; Data'!J151</f>
        <v>9</v>
      </c>
      <c r="BZ115" s="39" t="str">
        <f aca="false">IF(BK115="Close",COUNTIF($BK$106:BK115,"Close"),"")</f>
        <v/>
      </c>
    </row>
    <row r="116" customFormat="false" ht="15" hidden="false" customHeight="false" outlineLevel="0" collapsed="false">
      <c r="A116" s="48" t="str">
        <f aca="false">'Assumptions &amp; Data'!A152</f>
        <v>DS011</v>
      </c>
      <c r="B116" s="48" t="str">
        <f aca="false">'Assumptions &amp; Data'!B152</f>
        <v>Delhi NCR</v>
      </c>
      <c r="C116" s="48" t="str">
        <f aca="false">'Assumptions &amp; Data'!C152</f>
        <v>Peripheral / emerging</v>
      </c>
      <c r="D116" s="37" t="n">
        <f aca="false">'Assumptions &amp; Data'!D152</f>
        <v>48</v>
      </c>
      <c r="E116" s="39" t="n">
        <f aca="false">SUMIFS('Financial Analysis'!$E$71:$E$790,'Financial Analysis'!$B$71:$B$790,$A116,'Financial Analysis'!$C$71:$C$790,"&gt;="&amp;'Assumptions &amp; Data'!$C$62)/'Assumptions &amp; Data'!$C$63</f>
        <v>1058.04347826087</v>
      </c>
      <c r="F116" s="40" t="n">
        <f aca="false">SUMIFS('Financial Analysis'!$H$71:$H$790,'Financial Analysis'!$B$71:$B$790,$A116,'Financial Analysis'!$C$71:$C$790,"&gt;="&amp;'Assumptions &amp; Data'!$C$62)/'Assumptions &amp; Data'!$C$85/100000</f>
        <v>187.808315456</v>
      </c>
      <c r="G116" s="40" t="n">
        <f aca="false">SUMIFS('Financial Analysis'!$F$71:$F$790,'Financial Analysis'!$B$71:$B$790,$A116,'Financial Analysis'!$C$71:$C$790,"&gt;="&amp;'Assumptions &amp; Data'!$C$62)/SUMIFS('Financial Analysis'!$E$71:$E$790,'Financial Analysis'!$B$71:$B$790,$A116,'Financial Analysis'!$C$71:$C$790,"&gt;="&amp;'Assumptions &amp; Data'!$C$62)</f>
        <v>611.068456955003</v>
      </c>
      <c r="H116" s="49" t="n">
        <f aca="false">SUMIFS('Financial Analysis'!$G$71:$G$790,'Financial Analysis'!$B$71:$B$790,$A116,'Financial Analysis'!$C$71:$C$790,"&gt;="&amp;'Assumptions &amp; Data'!$C$62)/SUMIFS('Financial Analysis'!$F$71:$F$790,'Financial Analysis'!$B$71:$B$790,$A116,'Financial Analysis'!$C$71:$C$790,"&gt;="&amp;'Assumptions &amp; Data'!$C$62)</f>
        <v>0.052771265861655</v>
      </c>
      <c r="I116" s="49" t="n">
        <f aca="false">SUMIFS('Financial Analysis'!$L$71:$L$790,'Financial Analysis'!$B$71:$B$790,$A116,'Financial Analysis'!$C$71:$C$790,"&gt;="&amp;'Assumptions &amp; Data'!$C$62)/SUMIFS('Financial Analysis'!$H$71:$H$790,'Financial Analysis'!$B$71:$B$790,$A116,'Financial Analysis'!$C$71:$C$790,"&gt;="&amp;'Assumptions &amp; Data'!$C$62)</f>
        <v>0.0192222455232556</v>
      </c>
      <c r="J116" s="40" t="n">
        <f aca="false">SUMIFS('Financial Analysis'!$N$71:$N$790,'Financial Analysis'!$B$71:$B$790,$A116,'Financial Analysis'!$C$71:$C$790,"&gt;="&amp;'Assumptions &amp; Data'!$C$62)/SUMIFS('Financial Analysis'!$E$71:$E$790,'Financial Analysis'!$B$71:$B$790,$A116,'Financial Analysis'!$C$71:$C$790,"&gt;="&amp;'Assumptions &amp; Data'!$C$62)</f>
        <v>35.8704024039449</v>
      </c>
      <c r="K116" s="40" t="n">
        <f aca="false">SUMIFS('Financial Analysis'!$R$71:$R$790,'Financial Analysis'!$B$71:$B$790,$A116,'Financial Analysis'!$C$71:$C$790,"&gt;="&amp;'Assumptions &amp; Data'!$C$62)/AVERAGEIFS('Assumptions &amp; Data'!$M$205:$M$924,'Assumptions &amp; Data'!$B$205:$B$924,$A116,'Assumptions &amp; Data'!$C$205:$C$924,"&gt;="&amp;'Assumptions &amp; Data'!$C$62)/'Assumptions &amp; Data'!$C$85</f>
        <v>28.6672644047001</v>
      </c>
      <c r="L116" s="40" t="n">
        <f aca="false">E116/K116</f>
        <v>36.9077238526952</v>
      </c>
      <c r="M116" s="40" t="n">
        <f aca="false">SUMIFS('Financial Analysis'!$Q$71:$Q$790,'Financial Analysis'!$B$71:$B$790,$A116,'Financial Analysis'!$C$71:$C$790,"&gt;="&amp;'Assumptions &amp; Data'!$C$62)/SUMIFS('Financial Analysis'!$E$71:$E$790,'Financial Analysis'!$B$71:$B$790,$A116,'Financial Analysis'!$C$71:$C$790,"&gt;="&amp;'Assumptions &amp; Data'!$C$62)</f>
        <v>64.030397849195</v>
      </c>
      <c r="N116" s="40" t="n">
        <f aca="false">SUMIFS('Financial Analysis'!$Y$71:$Y$790,'Financial Analysis'!$B$71:$B$790,$A116,'Financial Analysis'!$C$71:$C$790,"&gt;="&amp;'Assumptions &amp; Data'!$C$62)/'Assumptions &amp; Data'!$C$85/100000</f>
        <v>12.8370333333333</v>
      </c>
      <c r="O116" s="40" t="n">
        <f aca="false">SUMIFS('Financial Analysis'!$V$71:$V$790,'Financial Analysis'!$B$71:$B$790,$A116,'Financial Analysis'!$C$71:$C$790,"&gt;="&amp;'Assumptions &amp; Data'!$C$62)/'Assumptions &amp; Data'!$C$85/100000</f>
        <v>7.93869642213546</v>
      </c>
      <c r="P116" s="49" t="n">
        <f aca="false">O116/F116</f>
        <v>0.0422702072741574</v>
      </c>
      <c r="Q116" s="39" t="n">
        <f aca="false">IF(M116&gt;0,N116*100000/(M116*'Assumptions &amp; Data'!$C$63/'Assumptions &amp; Data'!$C$85),9999)</f>
        <v>653.750292211781</v>
      </c>
      <c r="R116" s="49" t="n">
        <f aca="false">E116/Q116-1</f>
        <v>0.618421423080784</v>
      </c>
      <c r="S116" s="50" t="n">
        <f aca="false">'Assumptions &amp; Data'!E152</f>
        <v>57.5</v>
      </c>
      <c r="T116" s="50" t="n">
        <f aca="false">'Assumptions &amp; Data'!G152</f>
        <v>1</v>
      </c>
      <c r="U116" s="49" t="n">
        <f aca="false">MAX(0,('Assumptions &amp; Data'!$C$72-T116)/'Assumptions &amp; Data'!$C$72)*'Assumptions &amp; Data'!$C$73</f>
        <v>0.166666666666667</v>
      </c>
      <c r="V116" s="39" t="n">
        <f aca="false">S116*$B$6*(1-U116)</f>
        <v>1706.86477385328</v>
      </c>
      <c r="W116" s="49" t="n">
        <f aca="false">V116/E116-1</f>
        <v>0.613227441899546</v>
      </c>
      <c r="X116" s="39" t="n">
        <f aca="false">IF(D116&gt;='Assumptions &amp; Data'!$C$64,1,0)</f>
        <v>1</v>
      </c>
      <c r="Y116" s="40" t="str">
        <f aca="false">IF(AND(X116=1,T116&gt;='Assumptions &amp; Data'!$C$72),E116/S116,"")</f>
        <v/>
      </c>
      <c r="Z116" s="49" t="n">
        <f aca="false">IF(X116=1,H116,"")</f>
        <v>0.052771265861655</v>
      </c>
      <c r="AA116" s="49" t="n">
        <f aca="false">IF(X116=1,I116,"")</f>
        <v>0.0192222455232556</v>
      </c>
      <c r="AB116" s="40" t="n">
        <f aca="false">IF(X116=1,J116,"")</f>
        <v>35.8704024039449</v>
      </c>
      <c r="AC116" s="40" t="n">
        <f aca="false">IF(X116=1,L116,"")</f>
        <v>36.9077238526952</v>
      </c>
      <c r="AD116" s="40" t="n">
        <f aca="false">IF(X116=1,AP116/E116*100,"")</f>
        <v>425.313334703103</v>
      </c>
      <c r="AE116" s="40" t="n">
        <f aca="false">IF(X116=1,M116,"")</f>
        <v>64.030397849195</v>
      </c>
      <c r="AF116" s="40" t="n">
        <f aca="false">E116*'Assumptions &amp; Data'!$C$63/'Assumptions &amp; Data'!$C$85*G116/100000</f>
        <v>198.271345333333</v>
      </c>
      <c r="AG116" s="49" t="n">
        <f aca="false">MAX(0,H116-$B$7)</f>
        <v>0</v>
      </c>
      <c r="AH116" s="40" t="n">
        <f aca="false">AG116*AF116</f>
        <v>0</v>
      </c>
      <c r="AI116" s="40" t="n">
        <f aca="false">AG116*100*E116*'Assumptions &amp; Data'!$C$63/'Assumptions &amp; Data'!$C$85*M116/100000</f>
        <v>0</v>
      </c>
      <c r="AJ116" s="49" t="n">
        <f aca="false">MAX(0,I116-$B$8)</f>
        <v>0</v>
      </c>
      <c r="AK116" s="40" t="n">
        <f aca="false">AJ116*F116</f>
        <v>0</v>
      </c>
      <c r="AL116" s="40" t="n">
        <f aca="false">MAX(0,K116-E116/$B$10)</f>
        <v>0.946609417510619</v>
      </c>
      <c r="AM116" s="40" t="n">
        <f aca="false">AL116*BN116/K116</f>
        <v>0.200596001664675</v>
      </c>
      <c r="AN116" s="40" t="n">
        <f aca="false">MAX(0,J116-$B$9)</f>
        <v>0</v>
      </c>
      <c r="AO116" s="40" t="n">
        <f aca="false">AN116*E116*'Assumptions &amp; Data'!$C$63/'Assumptions &amp; Data'!$C$85/100000</f>
        <v>0</v>
      </c>
      <c r="AP116" s="37" t="n">
        <f aca="false">'Assumptions &amp; Data'!H152</f>
        <v>4500</v>
      </c>
      <c r="AQ116" s="39" t="n">
        <f aca="false">MIN(AP116,$B$11*E116/100)</f>
        <v>4065.39287050806</v>
      </c>
      <c r="AR116" s="39" t="n">
        <f aca="false">IF(AP116-AQ116&gt;'Assumptions &amp; Data'!$C$78*AP116,AP116-AQ116,0)</f>
        <v>0</v>
      </c>
      <c r="AS116" s="50" t="n">
        <f aca="false">'Assumptions &amp; Data'!I152</f>
        <v>81</v>
      </c>
      <c r="AT116" s="40" t="n">
        <f aca="false">INDEX('Assumptions &amp; Data'!$B$89:$E$94,MATCH(B116,'Assumptions &amp; Data'!$A$89:$A$94,0),MATCH(C116,'Assumptions &amp; Data'!$B$88:$E$88,0))</f>
        <v>100</v>
      </c>
      <c r="AU116" s="39" t="n">
        <f aca="false">IF(BY116&lt;='Assumptions &amp; Data'!$C$79,1,0)</f>
        <v>1</v>
      </c>
      <c r="AV116" s="40" t="n">
        <f aca="false">AU116*(AR116*AS116+MAX(0,AS116-AT116)*(AP116-AR116))/100000</f>
        <v>0</v>
      </c>
      <c r="AW116" s="40" t="n">
        <f aca="false">'Assumptions &amp; Data'!$C$67*(AH116-'Assumptions &amp; Data'!$C$68*AI116+AK116+AM116+AO116+AV116)</f>
        <v>0.120357600998805</v>
      </c>
      <c r="AX116" s="40" t="n">
        <f aca="false">O116+AW116</f>
        <v>8.05905402313427</v>
      </c>
      <c r="AY116" s="49" t="n">
        <f aca="false">IF(D116&lt;'Assumptions &amp; Data'!$C$64,'Assumptions &amp; Data'!$C$70,'Assumptions &amp; Data'!$C$69)</f>
        <v>0.5</v>
      </c>
      <c r="AZ116" s="40" t="n">
        <f aca="false">AY116*MAX(0,V116-E116)*'Assumptions &amp; Data'!$C$63/'Assumptions &amp; Data'!$C$85*(M116-'Assumptions &amp; Data'!$C$71)/100000</f>
        <v>5.37526448586284</v>
      </c>
      <c r="BA116" s="40" t="n">
        <f aca="false">AX116+AZ116</f>
        <v>13.4343185089971</v>
      </c>
      <c r="BB116" s="40" t="n">
        <f aca="false">BA116+(1-'Assumptions &amp; Data'!$C$67)*AV116</f>
        <v>13.4343185089971</v>
      </c>
      <c r="BC116" s="48" t="str">
        <f aca="false">'Assumptions &amp; Data'!F152</f>
        <v>DS001</v>
      </c>
      <c r="BD116" s="39" t="n">
        <f aca="false">INDEX('Assumptions &amp; Data'!$K$142:$K$201,MATCH(BC116,'Assumptions &amp; Data'!$A$142:$A$201,0))*'Assumptions &amp; Data'!$C$77</f>
        <v>972</v>
      </c>
      <c r="BE116" s="39" t="n">
        <f aca="false">MAX(0,BD116-INDEX($E$106:$E$165,MATCH(BC116,$A$106:$A$165,0)))</f>
        <v>499.978260869565</v>
      </c>
      <c r="BF116" s="39" t="n">
        <f aca="false">IF(T116&lt;='Assumptions &amp; Data'!$C$74,MIN('Assumptions &amp; Data'!$C$76*E116,BE116),0)</f>
        <v>499.978260869565</v>
      </c>
      <c r="BG116" s="40" t="n">
        <f aca="false">-O116+BF116*'Assumptions &amp; Data'!$C$63/'Assumptions &amp; Data'!$C$85*($B$12-'Assumptions &amp; Data'!$C$71)/100000</f>
        <v>0.453950407548282</v>
      </c>
      <c r="BH116" s="40" t="n">
        <f aca="false">(AS116*AP116*BY116*'Assumptions &amp; Data'!$C$82+K116*(BN116*100000/K116)*'Assumptions &amp; Data'!$C$80*(1-'Assumptions &amp; Data'!$C$81)+AP116*'Assumptions &amp; Data'!$C$83)/100000</f>
        <v>21.802392</v>
      </c>
      <c r="BI116" s="40" t="n">
        <f aca="false">'Assumptions &amp; Data'!L152*MAX(0,1-D116/'Assumptions &amp; Data'!$C$84)</f>
        <v>65.5714285714286</v>
      </c>
      <c r="BJ116" s="40" t="n">
        <f aca="false">IF(BG116&gt;0,BH116/BG116,99)</f>
        <v>48.0281361960912</v>
      </c>
      <c r="BK116" s="2" t="str">
        <f aca="false">IF(AND(P116&gt;='Assumptions &amp; Data'!$C$65,R116&gt;=0,W116&gt;='Assumptions &amp; Data'!$C$66),"Scale",IF(OR(O116&gt;=0,AX116&gt;=0),"Optimise",IF(BA116&gt;=0,"Turn around",IF(BB116&gt;=0,"Relocate or resize",IF(AND(BF116&gt;0,BJ116&lt;='Assumptions &amp; Data'!$C$75,D116&gt;='Assumptions &amp; Data'!$C$64),"Close","Relocate or resize")))))</f>
        <v>Scale</v>
      </c>
      <c r="BL116" s="42" t="str">
        <f aca="false">INDEX($BK$106:$BK$165,MATCH(BC116,$A$106:$A$165,0))</f>
        <v>Close</v>
      </c>
      <c r="BM116" s="42" t="str">
        <f aca="false">IF(RANK(P116,$P$106:$P$165)&lt;=ROUND(COUNT($P$106:$P$165)/4,0),"Q1 top",IF(RANK(P116,$P$106:$P$165)&gt;COUNT($P$106:$P$165)-ROUND(COUNT($P$106:$P$165)/4,0),"Q4 bottom","Q2-Q3 middle"))</f>
        <v>Q1 top</v>
      </c>
      <c r="BN116" s="40" t="n">
        <f aca="false">SUMIFS('Financial Analysis'!$R$71:$R$790,'Financial Analysis'!$B$71:$B$790,$A116,'Financial Analysis'!$C$71:$C$790,"&gt;="&amp;'Assumptions &amp; Data'!$C$62)/'Assumptions &amp; Data'!$C$85/100000</f>
        <v>6.07488</v>
      </c>
      <c r="BO116" s="40" t="n">
        <f aca="false">SUMIFS('Financial Analysis'!$H$71:$H$790,'Financial Analysis'!$B$71:$B$790,$A116,'Financial Analysis'!$C$71:$C$790,"&gt;="&amp;'Assumptions &amp; Data'!$C$62)/SUMIFS('Financial Analysis'!$E$71:$E$790,'Financial Analysis'!$B$71:$B$790,$A116,'Financial Analysis'!$C$71:$C$790,"&gt;="&amp;'Assumptions &amp; Data'!$C$62)</f>
        <v>578.821600953359</v>
      </c>
      <c r="BP116" s="40" t="n">
        <f aca="false">(SUMIFS('Financial Analysis'!$I$71:$I$790,'Financial Analysis'!$B$71:$B$790,$A116,'Financial Analysis'!$C$71:$C$790,"&gt;="&amp;'Assumptions &amp; Data'!$C$62)+SUMIFS('Financial Analysis'!$J$71:$J$790,'Financial Analysis'!$B$71:$B$790,$A116,'Financial Analysis'!$C$71:$C$790,"&gt;="&amp;'Assumptions &amp; Data'!$C$62)+SUMIFS('Financial Analysis'!$K$71:$K$790,'Financial Analysis'!$B$71:$B$790,$A116,'Financial Analysis'!$C$71:$C$790,"&gt;="&amp;'Assumptions &amp; Data'!$C$62))/SUMIFS('Financial Analysis'!$E$71:$E$790,'Financial Analysis'!$B$71:$B$790,$A116,'Financial Analysis'!$C$71:$C$790,"&gt;="&amp;'Assumptions &amp; Data'!$C$62)</f>
        <v>127.205037937354</v>
      </c>
      <c r="BQ116" s="40" t="n">
        <f aca="false">SUMIFS('Financial Analysis'!$L$71:$L$790,'Financial Analysis'!$B$71:$B$790,$A116,'Financial Analysis'!$C$71:$C$790,"&gt;="&amp;'Assumptions &amp; Data'!$C$62)/SUMIFS('Financial Analysis'!$E$71:$E$790,'Financial Analysis'!$B$71:$B$790,$A116,'Financial Analysis'!$C$71:$C$790,"&gt;="&amp;'Assumptions &amp; Data'!$C$62)</f>
        <v>11.1262509276893</v>
      </c>
      <c r="BR116" s="40" t="n">
        <f aca="false">SUMIFS('Financial Analysis'!$L$71:$L$790,'Financial Analysis'!$B$71:$B$790,$A116,'Financial Analysis'!$C$71:$C$790,"&gt;="&amp;'Assumptions &amp; Data'!$C$62)/SUMIFS('Financial Analysis'!$E$71:$E$790,'Financial Analysis'!$B$71:$B$790,$A116,'Financial Analysis'!$C$71:$C$790,"&gt;="&amp;'Assumptions &amp; Data'!$C$62)</f>
        <v>11.1262509276893</v>
      </c>
      <c r="BS116" s="40" t="n">
        <f aca="false">SUMIFS('Financial Analysis'!$N$71:$N$790,'Financial Analysis'!$B$71:$B$790,$A116,'Financial Analysis'!$C$71:$C$790,"&gt;="&amp;'Assumptions &amp; Data'!$C$62)/SUMIFS('Financial Analysis'!$E$71:$E$790,'Financial Analysis'!$B$71:$B$790,$A116,'Financial Analysis'!$C$71:$C$790,"&gt;="&amp;'Assumptions &amp; Data'!$C$62)</f>
        <v>35.8704024039449</v>
      </c>
      <c r="BT116" s="40" t="n">
        <f aca="false">(SUMIFS('Financial Analysis'!$O$71:$O$790,'Financial Analysis'!$B$71:$B$790,$A116,'Financial Analysis'!$C$71:$C$790,"&gt;="&amp;'Assumptions &amp; Data'!$C$62)+SUMIFS('Financial Analysis'!$P$71:$P$790,'Financial Analysis'!$B$71:$B$790,$A116,'Financial Analysis'!$C$71:$C$790,"&gt;="&amp;'Assumptions &amp; Data'!$C$62))/SUMIFS('Financial Analysis'!$E$71:$E$790,'Financial Analysis'!$B$71:$B$790,$A116,'Financial Analysis'!$C$71:$C$790,"&gt;="&amp;'Assumptions &amp; Data'!$C$62)</f>
        <v>16.1779867565243</v>
      </c>
      <c r="BU116" s="40" t="n">
        <f aca="false">SUMIFS('Financial Analysis'!$R$71:$R$790,'Financial Analysis'!$B$71:$B$790,$A116,'Financial Analysis'!$C$71:$C$790,"&gt;="&amp;'Assumptions &amp; Data'!$C$62)/SUMIFS('Financial Analysis'!$E$71:$E$790,'Financial Analysis'!$B$71:$B$790,$A116,'Financial Analysis'!$C$71:$C$790,"&gt;="&amp;'Assumptions &amp; Data'!$C$62)</f>
        <v>18.7226628313129</v>
      </c>
      <c r="BV116" s="40" t="n">
        <f aca="false">SUMIFS('Financial Analysis'!$S$71:$S$790,'Financial Analysis'!$B$71:$B$790,$A116,'Financial Analysis'!$C$71:$C$790,"&gt;="&amp;'Assumptions &amp; Data'!$C$62)/SUMIFS('Financial Analysis'!$E$71:$E$790,'Financial Analysis'!$B$71:$B$790,$A116,'Financial Analysis'!$C$71:$C$790,"&gt;="&amp;'Assumptions &amp; Data'!$C$62)</f>
        <v>11.2338196013972</v>
      </c>
      <c r="BW116" s="40" t="n">
        <f aca="false">(SUMIFS('Financial Analysis'!$T$71:$T$790,'Financial Analysis'!$B$71:$B$790,$A116,'Financial Analysis'!$C$71:$C$790,"&gt;="&amp;'Assumptions &amp; Data'!$C$62)+SUMIFS('Financial Analysis'!$U$71:$U$790,'Financial Analysis'!$B$71:$B$790,$A116,'Financial Analysis'!$C$71:$C$790,"&gt;="&amp;'Assumptions &amp; Data'!$C$62))/SUMIFS('Financial Analysis'!$E$71:$E$790,'Financial Analysis'!$B$71:$B$790,$A116,'Financial Analysis'!$C$71:$C$790,"&gt;="&amp;'Assumptions &amp; Data'!$C$62)</f>
        <v>9.60700636942675</v>
      </c>
      <c r="BX116" s="40" t="n">
        <f aca="false">SUMIFS('Financial Analysis'!$V$71:$V$790,'Financial Analysis'!$B$71:$B$790,$A116,'Financial Analysis'!$C$71:$C$790,"&gt;="&amp;'Assumptions &amp; Data'!$C$62)/SUMIFS('Financial Analysis'!$E$71:$E$790,'Financial Analysis'!$B$71:$B$790,$A116,'Financial Analysis'!$C$71:$C$790,"&gt;="&amp;'Assumptions &amp; Data'!$C$62)</f>
        <v>24.4669090470581</v>
      </c>
      <c r="BY116" s="37" t="n">
        <f aca="false">'Assumptions &amp; Data'!J152</f>
        <v>6</v>
      </c>
      <c r="BZ116" s="39" t="str">
        <f aca="false">IF(BK116="Close",COUNTIF($BK$106:BK116,"Close"),"")</f>
        <v/>
      </c>
    </row>
    <row r="117" customFormat="false" ht="15" hidden="false" customHeight="false" outlineLevel="0" collapsed="false">
      <c r="A117" s="48" t="str">
        <f aca="false">'Assumptions &amp; Data'!A153</f>
        <v>DS012</v>
      </c>
      <c r="B117" s="48" t="str">
        <f aca="false">'Assumptions &amp; Data'!B153</f>
        <v>Delhi NCR</v>
      </c>
      <c r="C117" s="48" t="str">
        <f aca="false">'Assumptions &amp; Data'!C153</f>
        <v>Mixed use</v>
      </c>
      <c r="D117" s="37" t="n">
        <f aca="false">'Assumptions &amp; Data'!D153</f>
        <v>41</v>
      </c>
      <c r="E117" s="39" t="n">
        <f aca="false">SUMIFS('Financial Analysis'!$E$71:$E$790,'Financial Analysis'!$B$71:$B$790,$A117,'Financial Analysis'!$C$71:$C$790,"&gt;="&amp;'Assumptions &amp; Data'!$C$62)/'Assumptions &amp; Data'!$C$63</f>
        <v>1418.92391304348</v>
      </c>
      <c r="F117" s="40" t="n">
        <f aca="false">SUMIFS('Financial Analysis'!$H$71:$H$790,'Financial Analysis'!$B$71:$B$790,$A117,'Financial Analysis'!$C$71:$C$790,"&gt;="&amp;'Assumptions &amp; Data'!$C$62)/'Assumptions &amp; Data'!$C$85/100000</f>
        <v>272.5231383344</v>
      </c>
      <c r="G117" s="40" t="n">
        <f aca="false">SUMIFS('Financial Analysis'!$F$71:$F$790,'Financial Analysis'!$B$71:$B$790,$A117,'Financial Analysis'!$C$71:$C$790,"&gt;="&amp;'Assumptions &amp; Data'!$C$62)/SUMIFS('Financial Analysis'!$E$71:$E$790,'Financial Analysis'!$B$71:$B$790,$A117,'Financial Analysis'!$C$71:$C$790,"&gt;="&amp;'Assumptions &amp; Data'!$C$62)</f>
        <v>661.503012846539</v>
      </c>
      <c r="H117" s="49" t="n">
        <f aca="false">SUMIFS('Financial Analysis'!$G$71:$G$790,'Financial Analysis'!$B$71:$B$790,$A117,'Financial Analysis'!$C$71:$C$790,"&gt;="&amp;'Assumptions &amp; Data'!$C$62)/SUMIFS('Financial Analysis'!$F$71:$F$790,'Financial Analysis'!$B$71:$B$790,$A117,'Financial Analysis'!$C$71:$C$790,"&gt;="&amp;'Assumptions &amp; Data'!$C$62)</f>
        <v>0.0532269776982422</v>
      </c>
      <c r="I117" s="49" t="n">
        <f aca="false">SUMIFS('Financial Analysis'!$L$71:$L$790,'Financial Analysis'!$B$71:$B$790,$A117,'Financial Analysis'!$C$71:$C$790,"&gt;="&amp;'Assumptions &amp; Data'!$C$62)/SUMIFS('Financial Analysis'!$H$71:$H$790,'Financial Analysis'!$B$71:$B$790,$A117,'Financial Analysis'!$C$71:$C$790,"&gt;="&amp;'Assumptions &amp; Data'!$C$62)</f>
        <v>0.0203439866248099</v>
      </c>
      <c r="J117" s="40" t="n">
        <f aca="false">SUMIFS('Financial Analysis'!$N$71:$N$790,'Financial Analysis'!$B$71:$B$790,$A117,'Financial Analysis'!$C$71:$C$790,"&gt;="&amp;'Assumptions &amp; Data'!$C$62)/SUMIFS('Financial Analysis'!$E$71:$E$790,'Financial Analysis'!$B$71:$B$790,$A117,'Financial Analysis'!$C$71:$C$790,"&gt;="&amp;'Assumptions &amp; Data'!$C$62)</f>
        <v>36.2375127354624</v>
      </c>
      <c r="K117" s="40" t="n">
        <f aca="false">SUMIFS('Financial Analysis'!$R$71:$R$790,'Financial Analysis'!$B$71:$B$790,$A117,'Financial Analysis'!$C$71:$C$790,"&gt;="&amp;'Assumptions &amp; Data'!$C$62)/AVERAGEIFS('Assumptions &amp; Data'!$M$205:$M$924,'Assumptions &amp; Data'!$B$205:$B$924,$A117,'Assumptions &amp; Data'!$C$205:$C$924,"&gt;="&amp;'Assumptions &amp; Data'!$C$62)/'Assumptions &amp; Data'!$C$85</f>
        <v>38.3336322023501</v>
      </c>
      <c r="L117" s="40" t="n">
        <f aca="false">E117/K117</f>
        <v>37.0151178357811</v>
      </c>
      <c r="M117" s="40" t="n">
        <f aca="false">SUMIFS('Financial Analysis'!$Q$71:$Q$790,'Financial Analysis'!$B$71:$B$790,$A117,'Financial Analysis'!$C$71:$C$790,"&gt;="&amp;'Assumptions &amp; Data'!$C$62)/SUMIFS('Financial Analysis'!$E$71:$E$790,'Financial Analysis'!$B$71:$B$790,$A117,'Financial Analysis'!$C$71:$C$790,"&gt;="&amp;'Assumptions &amp; Data'!$C$62)</f>
        <v>72.2454076053053</v>
      </c>
      <c r="N117" s="40" t="n">
        <f aca="false">SUMIFS('Financial Analysis'!$Y$71:$Y$790,'Financial Analysis'!$B$71:$B$790,$A117,'Financial Analysis'!$C$71:$C$790,"&gt;="&amp;'Assumptions &amp; Data'!$C$62)/'Assumptions &amp; Data'!$C$85/100000</f>
        <v>16.5080066666667</v>
      </c>
      <c r="O117" s="40" t="n">
        <f aca="false">SUMIFS('Financial Analysis'!$V$71:$V$790,'Financial Analysis'!$B$71:$B$790,$A117,'Financial Analysis'!$C$71:$C$790,"&gt;="&amp;'Assumptions &amp; Data'!$C$62)/'Assumptions &amp; Data'!$C$85/100000</f>
        <v>14.9286191806805</v>
      </c>
      <c r="P117" s="49" t="n">
        <f aca="false">O117/F117</f>
        <v>0.0547792722185753</v>
      </c>
      <c r="Q117" s="39" t="n">
        <f aca="false">IF(M117&gt;0,N117*100000/(M117*'Assumptions &amp; Data'!$C$63/'Assumptions &amp; Data'!$C$85),9999)</f>
        <v>745.105582569737</v>
      </c>
      <c r="R117" s="49" t="n">
        <f aca="false">E117/Q117-1</f>
        <v>0.90432597236738</v>
      </c>
      <c r="S117" s="50" t="n">
        <f aca="false">'Assumptions &amp; Data'!E153</f>
        <v>51.6</v>
      </c>
      <c r="T117" s="50" t="n">
        <f aca="false">'Assumptions &amp; Data'!G153</f>
        <v>1.2</v>
      </c>
      <c r="U117" s="49" t="n">
        <f aca="false">MAX(0,('Assumptions &amp; Data'!$C$72-T117)/'Assumptions &amp; Data'!$C$72)*'Assumptions &amp; Data'!$C$73</f>
        <v>0.1</v>
      </c>
      <c r="V117" s="39" t="n">
        <f aca="false">S117*$B$6*(1-U117)</f>
        <v>1654.26365421384</v>
      </c>
      <c r="W117" s="49" t="n">
        <f aca="false">V117/E117-1</f>
        <v>0.165857900488528</v>
      </c>
      <c r="X117" s="39" t="n">
        <f aca="false">IF(D117&gt;='Assumptions &amp; Data'!$C$64,1,0)</f>
        <v>1</v>
      </c>
      <c r="Y117" s="40" t="str">
        <f aca="false">IF(AND(X117=1,T117&gt;='Assumptions &amp; Data'!$C$72),E117/S117,"")</f>
        <v/>
      </c>
      <c r="Z117" s="49" t="n">
        <f aca="false">IF(X117=1,H117,"")</f>
        <v>0.0532269776982422</v>
      </c>
      <c r="AA117" s="49" t="n">
        <f aca="false">IF(X117=1,I117,"")</f>
        <v>0.0203439866248099</v>
      </c>
      <c r="AB117" s="40" t="n">
        <f aca="false">IF(X117=1,J117,"")</f>
        <v>36.2375127354624</v>
      </c>
      <c r="AC117" s="40" t="n">
        <f aca="false">IF(X117=1,L117,"")</f>
        <v>37.0151178357811</v>
      </c>
      <c r="AD117" s="40" t="n">
        <f aca="false">IF(X117=1,AP117/E117*100,"")</f>
        <v>246.665798484767</v>
      </c>
      <c r="AE117" s="40" t="n">
        <f aca="false">IF(X117=1,M117,"")</f>
        <v>72.2454076053053</v>
      </c>
      <c r="AF117" s="40" t="n">
        <f aca="false">E117*'Assumptions &amp; Data'!$C$63/'Assumptions &amp; Data'!$C$85*G117/100000</f>
        <v>287.844216</v>
      </c>
      <c r="AG117" s="49" t="n">
        <f aca="false">MAX(0,H117-$B$7)</f>
        <v>0</v>
      </c>
      <c r="AH117" s="40" t="n">
        <f aca="false">AG117*AF117</f>
        <v>0</v>
      </c>
      <c r="AI117" s="40" t="n">
        <f aca="false">AG117*100*E117*'Assumptions &amp; Data'!$C$63/'Assumptions &amp; Data'!$C$85*M117/100000</f>
        <v>0</v>
      </c>
      <c r="AJ117" s="49" t="n">
        <f aca="false">MAX(0,I117-$B$8)</f>
        <v>0</v>
      </c>
      <c r="AK117" s="40" t="n">
        <f aca="false">AJ117*F117</f>
        <v>0</v>
      </c>
      <c r="AL117" s="40" t="n">
        <f aca="false">MAX(0,K117-E117/$B$10)</f>
        <v>1.15793852367013</v>
      </c>
      <c r="AM117" s="40" t="n">
        <f aca="false">AL117*BN117/K117</f>
        <v>0.245378752550938</v>
      </c>
      <c r="AN117" s="40" t="n">
        <f aca="false">MAX(0,J117-$B$9)</f>
        <v>0</v>
      </c>
      <c r="AO117" s="40" t="n">
        <f aca="false">AN117*E117*'Assumptions &amp; Data'!$C$63/'Assumptions &amp; Data'!$C$85/100000</f>
        <v>0</v>
      </c>
      <c r="AP117" s="37" t="n">
        <f aca="false">'Assumptions &amp; Data'!H153</f>
        <v>3500</v>
      </c>
      <c r="AQ117" s="39" t="n">
        <f aca="false">MIN(AP117,$B$11*E117/100)</f>
        <v>3500</v>
      </c>
      <c r="AR117" s="39" t="n">
        <f aca="false">IF(AP117-AQ117&gt;'Assumptions &amp; Data'!$C$78*AP117,AP117-AQ117,0)</f>
        <v>0</v>
      </c>
      <c r="AS117" s="50" t="n">
        <f aca="false">'Assumptions &amp; Data'!I153</f>
        <v>136</v>
      </c>
      <c r="AT117" s="40" t="n">
        <f aca="false">INDEX('Assumptions &amp; Data'!$B$89:$E$94,MATCH(B117,'Assumptions &amp; Data'!$A$89:$A$94,0),MATCH(C117,'Assumptions &amp; Data'!$B$88:$E$88,0))</f>
        <v>157</v>
      </c>
      <c r="AU117" s="39" t="n">
        <f aca="false">IF(BY117&lt;='Assumptions &amp; Data'!$C$79,1,0)</f>
        <v>0</v>
      </c>
      <c r="AV117" s="40" t="n">
        <f aca="false">AU117*(AR117*AS117+MAX(0,AS117-AT117)*(AP117-AR117))/100000</f>
        <v>0</v>
      </c>
      <c r="AW117" s="40" t="n">
        <f aca="false">'Assumptions &amp; Data'!$C$67*(AH117-'Assumptions &amp; Data'!$C$68*AI117+AK117+AM117+AO117+AV117)</f>
        <v>0.147227251530563</v>
      </c>
      <c r="AX117" s="40" t="n">
        <f aca="false">O117+AW117</f>
        <v>15.0758464322111</v>
      </c>
      <c r="AY117" s="49" t="n">
        <f aca="false">IF(D117&lt;'Assumptions &amp; Data'!$C$64,'Assumptions &amp; Data'!$C$70,'Assumptions &amp; Data'!$C$69)</f>
        <v>0.5</v>
      </c>
      <c r="AZ117" s="40" t="n">
        <f aca="false">AY117*MAX(0,V117-E117)*'Assumptions &amp; Data'!$C$63/'Assumptions &amp; Data'!$C$85*(M117-'Assumptions &amp; Data'!$C$71)/100000</f>
        <v>2.24615211094766</v>
      </c>
      <c r="BA117" s="40" t="n">
        <f aca="false">AX117+AZ117</f>
        <v>17.3219985431588</v>
      </c>
      <c r="BB117" s="40" t="n">
        <f aca="false">BA117+(1-'Assumptions &amp; Data'!$C$67)*AV117</f>
        <v>17.3219985431588</v>
      </c>
      <c r="BC117" s="48" t="str">
        <f aca="false">'Assumptions &amp; Data'!F153</f>
        <v>DS004</v>
      </c>
      <c r="BD117" s="39" t="n">
        <f aca="false">INDEX('Assumptions &amp; Data'!$K$142:$K$201,MATCH(BC117,'Assumptions &amp; Data'!$A$142:$A$201,0))*'Assumptions &amp; Data'!$C$77</f>
        <v>1134</v>
      </c>
      <c r="BE117" s="39" t="n">
        <f aca="false">MAX(0,BD117-INDEX($E$106:$E$165,MATCH(BC117,$A$106:$A$165,0)))</f>
        <v>86.9347826086957</v>
      </c>
      <c r="BF117" s="39" t="n">
        <f aca="false">IF(T117&lt;='Assumptions &amp; Data'!$C$74,MIN('Assumptions &amp; Data'!$C$76*E117,BE117),0)</f>
        <v>86.9347826086957</v>
      </c>
      <c r="BG117" s="40" t="n">
        <f aca="false">-O117+BF117*'Assumptions &amp; Data'!$C$63/'Assumptions &amp; Data'!$C$85*($B$12-'Assumptions &amp; Data'!$C$71)/100000</f>
        <v>-13.4693298780193</v>
      </c>
      <c r="BH117" s="40" t="n">
        <f aca="false">(AS117*AP117*BY117*'Assumptions &amp; Data'!$C$82+K117*(BN117*100000/K117)*'Assumptions &amp; Data'!$C$80*(1-'Assumptions &amp; Data'!$C$81)+AP117*'Assumptions &amp; Data'!$C$83)/100000</f>
        <v>97.190952</v>
      </c>
      <c r="BI117" s="40" t="n">
        <f aca="false">'Assumptions &amp; Data'!L153*MAX(0,1-D117/'Assumptions &amp; Data'!$C$84)</f>
        <v>60.9166666666667</v>
      </c>
      <c r="BJ117" s="40" t="n">
        <f aca="false">IF(BG117&gt;0,BH117/BG117,99)</f>
        <v>99</v>
      </c>
      <c r="BK117" s="2" t="str">
        <f aca="false">IF(AND(P117&gt;='Assumptions &amp; Data'!$C$65,R117&gt;=0,W117&gt;='Assumptions &amp; Data'!$C$66),"Scale",IF(OR(O117&gt;=0,AX117&gt;=0),"Optimise",IF(BA117&gt;=0,"Turn around",IF(BB117&gt;=0,"Relocate or resize",IF(AND(BF117&gt;0,BJ117&lt;='Assumptions &amp; Data'!$C$75,D117&gt;='Assumptions &amp; Data'!$C$64),"Close","Relocate or resize")))))</f>
        <v>Scale</v>
      </c>
      <c r="BL117" s="42" t="str">
        <f aca="false">INDEX($BK$106:$BK$165,MATCH(BC117,$A$106:$A$165,0))</f>
        <v>Scale</v>
      </c>
      <c r="BM117" s="42" t="str">
        <f aca="false">IF(RANK(P117,$P$106:$P$165)&lt;=ROUND(COUNT($P$106:$P$165)/4,0),"Q1 top",IF(RANK(P117,$P$106:$P$165)&gt;COUNT($P$106:$P$165)-ROUND(COUNT($P$106:$P$165)/4,0),"Q4 bottom","Q2-Q3 middle"))</f>
        <v>Q1 top</v>
      </c>
      <c r="BN117" s="40" t="n">
        <f aca="false">SUMIFS('Financial Analysis'!$R$71:$R$790,'Financial Analysis'!$B$71:$B$790,$A117,'Financial Analysis'!$C$71:$C$790,"&gt;="&amp;'Assumptions &amp; Data'!$C$62)/'Assumptions &amp; Data'!$C$85/100000</f>
        <v>8.12328</v>
      </c>
      <c r="BO117" s="40" t="n">
        <f aca="false">SUMIFS('Financial Analysis'!$H$71:$H$790,'Financial Analysis'!$B$71:$B$790,$A117,'Financial Analysis'!$C$71:$C$790,"&gt;="&amp;'Assumptions &amp; Data'!$C$62)/SUMIFS('Financial Analysis'!$E$71:$E$790,'Financial Analysis'!$B$71:$B$790,$A117,'Financial Analysis'!$C$71:$C$790,"&gt;="&amp;'Assumptions &amp; Data'!$C$62)</f>
        <v>626.293206734436</v>
      </c>
      <c r="BP117" s="40" t="n">
        <f aca="false">(SUMIFS('Financial Analysis'!$I$71:$I$790,'Financial Analysis'!$B$71:$B$790,$A117,'Financial Analysis'!$C$71:$C$790,"&gt;="&amp;'Assumptions &amp; Data'!$C$62)+SUMIFS('Financial Analysis'!$J$71:$J$790,'Financial Analysis'!$B$71:$B$790,$A117,'Financial Analysis'!$C$71:$C$790,"&gt;="&amp;'Assumptions &amp; Data'!$C$62)+SUMIFS('Financial Analysis'!$K$71:$K$790,'Financial Analysis'!$B$71:$B$790,$A117,'Financial Analysis'!$C$71:$C$790,"&gt;="&amp;'Assumptions &amp; Data'!$C$62))/SUMIFS('Financial Analysis'!$E$71:$E$790,'Financial Analysis'!$B$71:$B$790,$A117,'Financial Analysis'!$C$71:$C$790,"&gt;="&amp;'Assumptions &amp; Data'!$C$62)</f>
        <v>137.733615458744</v>
      </c>
      <c r="BQ117" s="40" t="n">
        <f aca="false">SUMIFS('Financial Analysis'!$L$71:$L$790,'Financial Analysis'!$B$71:$B$790,$A117,'Financial Analysis'!$C$71:$C$790,"&gt;="&amp;'Assumptions &amp; Data'!$C$62)/SUMIFS('Financial Analysis'!$E$71:$E$790,'Financial Analysis'!$B$71:$B$790,$A117,'Financial Analysis'!$C$71:$C$790,"&gt;="&amp;'Assumptions &amp; Data'!$C$62)</f>
        <v>12.7413006210146</v>
      </c>
      <c r="BR117" s="40" t="n">
        <f aca="false">SUMIFS('Financial Analysis'!$L$71:$L$790,'Financial Analysis'!$B$71:$B$790,$A117,'Financial Analysis'!$C$71:$C$790,"&gt;="&amp;'Assumptions &amp; Data'!$C$62)/SUMIFS('Financial Analysis'!$E$71:$E$790,'Financial Analysis'!$B$71:$B$790,$A117,'Financial Analysis'!$C$71:$C$790,"&gt;="&amp;'Assumptions &amp; Data'!$C$62)</f>
        <v>12.7413006210146</v>
      </c>
      <c r="BS117" s="40" t="n">
        <f aca="false">SUMIFS('Financial Analysis'!$N$71:$N$790,'Financial Analysis'!$B$71:$B$790,$A117,'Financial Analysis'!$C$71:$C$790,"&gt;="&amp;'Assumptions &amp; Data'!$C$62)/SUMIFS('Financial Analysis'!$E$71:$E$790,'Financial Analysis'!$B$71:$B$790,$A117,'Financial Analysis'!$C$71:$C$790,"&gt;="&amp;'Assumptions &amp; Data'!$C$62)</f>
        <v>36.2375127354624</v>
      </c>
      <c r="BT117" s="40" t="n">
        <f aca="false">(SUMIFS('Financial Analysis'!$O$71:$O$790,'Financial Analysis'!$B$71:$B$790,$A117,'Financial Analysis'!$C$71:$C$790,"&gt;="&amp;'Assumptions &amp; Data'!$C$62)+SUMIFS('Financial Analysis'!$P$71:$P$790,'Financial Analysis'!$B$71:$B$790,$A117,'Financial Analysis'!$C$71:$C$790,"&gt;="&amp;'Assumptions &amp; Data'!$C$62))/SUMIFS('Financial Analysis'!$E$71:$E$790,'Financial Analysis'!$B$71:$B$790,$A117,'Financial Analysis'!$C$71:$C$790,"&gt;="&amp;'Assumptions &amp; Data'!$C$62)</f>
        <v>16.5093944969618</v>
      </c>
      <c r="BU117" s="40" t="n">
        <f aca="false">SUMIFS('Financial Analysis'!$R$71:$R$790,'Financial Analysis'!$B$71:$B$790,$A117,'Financial Analysis'!$C$71:$C$790,"&gt;="&amp;'Assumptions &amp; Data'!$C$62)/SUMIFS('Financial Analysis'!$E$71:$E$790,'Financial Analysis'!$B$71:$B$790,$A117,'Financial Analysis'!$C$71:$C$790,"&gt;="&amp;'Assumptions &amp; Data'!$C$62)</f>
        <v>18.6683417470373</v>
      </c>
      <c r="BV117" s="40" t="n">
        <f aca="false">SUMIFS('Financial Analysis'!$S$71:$S$790,'Financial Analysis'!$B$71:$B$790,$A117,'Financial Analysis'!$C$71:$C$790,"&gt;="&amp;'Assumptions &amp; Data'!$C$62)/SUMIFS('Financial Analysis'!$E$71:$E$790,'Financial Analysis'!$B$71:$B$790,$A117,'Financial Analysis'!$C$71:$C$790,"&gt;="&amp;'Assumptions &amp; Data'!$C$62)</f>
        <v>10.9390919328027</v>
      </c>
      <c r="BW117" s="40" t="n">
        <f aca="false">(SUMIFS('Financial Analysis'!$T$71:$T$790,'Financial Analysis'!$B$71:$B$790,$A117,'Financial Analysis'!$C$71:$C$790,"&gt;="&amp;'Assumptions &amp; Data'!$C$62)+SUMIFS('Financial Analysis'!$U$71:$U$790,'Financial Analysis'!$B$71:$B$790,$A117,'Financial Analysis'!$C$71:$C$790,"&gt;="&amp;'Assumptions &amp; Data'!$C$62))/SUMIFS('Financial Analysis'!$E$71:$E$790,'Financial Analysis'!$B$71:$B$790,$A117,'Financial Analysis'!$C$71:$C$790,"&gt;="&amp;'Assumptions &amp; Data'!$C$62)</f>
        <v>8.33008786511518</v>
      </c>
      <c r="BX117" s="40" t="n">
        <f aca="false">SUMIFS('Financial Analysis'!$V$71:$V$790,'Financial Analysis'!$B$71:$B$790,$A117,'Financial Analysis'!$C$71:$C$790,"&gt;="&amp;'Assumptions &amp; Data'!$C$62)/SUMIFS('Financial Analysis'!$E$71:$E$790,'Financial Analysis'!$B$71:$B$790,$A117,'Financial Analysis'!$C$71:$C$790,"&gt;="&amp;'Assumptions &amp; Data'!$C$62)</f>
        <v>34.3078860603501</v>
      </c>
      <c r="BY117" s="37" t="n">
        <f aca="false">'Assumptions &amp; Data'!J153</f>
        <v>36</v>
      </c>
      <c r="BZ117" s="39" t="str">
        <f aca="false">IF(BK117="Close",COUNTIF($BK$106:BK117,"Close"),"")</f>
        <v/>
      </c>
    </row>
    <row r="118" customFormat="false" ht="15" hidden="false" customHeight="false" outlineLevel="0" collapsed="false">
      <c r="A118" s="48" t="str">
        <f aca="false">'Assumptions &amp; Data'!A154</f>
        <v>DS013</v>
      </c>
      <c r="B118" s="48" t="str">
        <f aca="false">'Assumptions &amp; Data'!B154</f>
        <v>Delhi NCR</v>
      </c>
      <c r="C118" s="48" t="str">
        <f aca="false">'Assumptions &amp; Data'!C154</f>
        <v>Commercial / office</v>
      </c>
      <c r="D118" s="37" t="n">
        <f aca="false">'Assumptions &amp; Data'!D154</f>
        <v>16</v>
      </c>
      <c r="E118" s="39" t="n">
        <f aca="false">SUMIFS('Financial Analysis'!$E$71:$E$790,'Financial Analysis'!$B$71:$B$790,$A118,'Financial Analysis'!$C$71:$C$790,"&gt;="&amp;'Assumptions &amp; Data'!$C$62)/'Assumptions &amp; Data'!$C$63</f>
        <v>902.597826086957</v>
      </c>
      <c r="F118" s="40" t="n">
        <f aca="false">SUMIFS('Financial Analysis'!$H$71:$H$790,'Financial Analysis'!$B$71:$B$790,$A118,'Financial Analysis'!$C$71:$C$790,"&gt;="&amp;'Assumptions &amp; Data'!$C$62)/'Assumptions &amp; Data'!$C$85/100000</f>
        <v>153.656385565833</v>
      </c>
      <c r="G118" s="40" t="n">
        <f aca="false">SUMIFS('Financial Analysis'!$F$71:$F$790,'Financial Analysis'!$B$71:$B$790,$A118,'Financial Analysis'!$C$71:$C$790,"&gt;="&amp;'Assumptions &amp; Data'!$C$62)/SUMIFS('Financial Analysis'!$E$71:$E$790,'Financial Analysis'!$B$71:$B$790,$A118,'Financial Analysis'!$C$71:$C$790,"&gt;="&amp;'Assumptions &amp; Data'!$C$62)</f>
        <v>587.487675670468</v>
      </c>
      <c r="H118" s="49" t="n">
        <f aca="false">SUMIFS('Financial Analysis'!$G$71:$G$790,'Financial Analysis'!$B$71:$B$790,$A118,'Financial Analysis'!$C$71:$C$790,"&gt;="&amp;'Assumptions &amp; Data'!$C$62)/SUMIFS('Financial Analysis'!$F$71:$F$790,'Financial Analysis'!$B$71:$B$790,$A118,'Financial Analysis'!$C$71:$C$790,"&gt;="&amp;'Assumptions &amp; Data'!$C$62)</f>
        <v>0.0550887995079967</v>
      </c>
      <c r="I118" s="49" t="n">
        <f aca="false">SUMIFS('Financial Analysis'!$L$71:$L$790,'Financial Analysis'!$B$71:$B$790,$A118,'Financial Analysis'!$C$71:$C$790,"&gt;="&amp;'Assumptions &amp; Data'!$C$62)/SUMIFS('Financial Analysis'!$H$71:$H$790,'Financial Analysis'!$B$71:$B$790,$A118,'Financial Analysis'!$C$71:$C$790,"&gt;="&amp;'Assumptions &amp; Data'!$C$62)</f>
        <v>0.0154572257524445</v>
      </c>
      <c r="J118" s="40" t="n">
        <f aca="false">SUMIFS('Financial Analysis'!$N$71:$N$790,'Financial Analysis'!$B$71:$B$790,$A118,'Financial Analysis'!$C$71:$C$790,"&gt;="&amp;'Assumptions &amp; Data'!$C$62)/SUMIFS('Financial Analysis'!$E$71:$E$790,'Financial Analysis'!$B$71:$B$790,$A118,'Financial Analysis'!$C$71:$C$790,"&gt;="&amp;'Assumptions &amp; Data'!$C$62)</f>
        <v>38.2070724599285</v>
      </c>
      <c r="K118" s="40" t="n">
        <f aca="false">SUMIFS('Financial Analysis'!$R$71:$R$790,'Financial Analysis'!$B$71:$B$790,$A118,'Financial Analysis'!$C$71:$C$790,"&gt;="&amp;'Assumptions &amp; Data'!$C$62)/AVERAGEIFS('Assumptions &amp; Data'!$M$205:$M$924,'Assumptions &amp; Data'!$B$205:$B$924,$A118,'Assumptions &amp; Data'!$C$205:$C$924,"&gt;="&amp;'Assumptions &amp; Data'!$C$62)/'Assumptions &amp; Data'!$C$85</f>
        <v>23.6672644047001</v>
      </c>
      <c r="L118" s="40" t="n">
        <f aca="false">E118/K118</f>
        <v>38.1369731056754</v>
      </c>
      <c r="M118" s="40" t="n">
        <f aca="false">SUMIFS('Financial Analysis'!$Q$71:$Q$790,'Financial Analysis'!$B$71:$B$790,$A118,'Financial Analysis'!$C$71:$C$790,"&gt;="&amp;'Assumptions &amp; Data'!$C$62)/SUMIFS('Financial Analysis'!$E$71:$E$790,'Financial Analysis'!$B$71:$B$790,$A118,'Financial Analysis'!$C$71:$C$790,"&gt;="&amp;'Assumptions &amp; Data'!$C$62)</f>
        <v>61.9439839086977</v>
      </c>
      <c r="N118" s="40" t="n">
        <f aca="false">SUMIFS('Financial Analysis'!$Y$71:$Y$790,'Financial Analysis'!$B$71:$B$790,$A118,'Financial Analysis'!$C$71:$C$790,"&gt;="&amp;'Assumptions &amp; Data'!$C$62)/'Assumptions &amp; Data'!$C$85/100000</f>
        <v>14.7248266666667</v>
      </c>
      <c r="O118" s="40" t="n">
        <f aca="false">SUMIFS('Financial Analysis'!$V$71:$V$790,'Financial Analysis'!$B$71:$B$790,$A118,'Financial Analysis'!$C$71:$C$790,"&gt;="&amp;'Assumptions &amp; Data'!$C$62)/'Assumptions &amp; Data'!$C$85/100000</f>
        <v>2.42106159931451</v>
      </c>
      <c r="P118" s="49" t="n">
        <f aca="false">O118/F118</f>
        <v>0.0157563357383362</v>
      </c>
      <c r="Q118" s="39" t="n">
        <f aca="false">IF(M118&gt;0,N118*100000/(M118*'Assumptions &amp; Data'!$C$63/'Assumptions &amp; Data'!$C$85),9999)</f>
        <v>775.147739951753</v>
      </c>
      <c r="R118" s="49" t="n">
        <f aca="false">E118/Q118-1</f>
        <v>0.164420380227306</v>
      </c>
      <c r="S118" s="50" t="n">
        <f aca="false">'Assumptions &amp; Data'!E154</f>
        <v>46</v>
      </c>
      <c r="T118" s="50" t="n">
        <f aca="false">'Assumptions &amp; Data'!G154</f>
        <v>1.1</v>
      </c>
      <c r="U118" s="49" t="n">
        <f aca="false">MAX(0,('Assumptions &amp; Data'!$C$72-T118)/'Assumptions &amp; Data'!$C$72)*'Assumptions &amp; Data'!$C$73</f>
        <v>0.133333333333333</v>
      </c>
      <c r="V118" s="39" t="n">
        <f aca="false">S118*$B$6*(1-U118)</f>
        <v>1420.11149184593</v>
      </c>
      <c r="W118" s="49" t="n">
        <f aca="false">V118/E118-1</f>
        <v>0.573360195207379</v>
      </c>
      <c r="X118" s="39" t="n">
        <f aca="false">IF(D118&gt;='Assumptions &amp; Data'!$C$64,1,0)</f>
        <v>1</v>
      </c>
      <c r="Y118" s="40" t="str">
        <f aca="false">IF(AND(X118=1,T118&gt;='Assumptions &amp; Data'!$C$72),E118/S118,"")</f>
        <v/>
      </c>
      <c r="Z118" s="49" t="n">
        <f aca="false">IF(X118=1,H118,"")</f>
        <v>0.0550887995079967</v>
      </c>
      <c r="AA118" s="49" t="n">
        <f aca="false">IF(X118=1,I118,"")</f>
        <v>0.0154572257524445</v>
      </c>
      <c r="AB118" s="40" t="n">
        <f aca="false">IF(X118=1,J118,"")</f>
        <v>38.2070724599285</v>
      </c>
      <c r="AC118" s="40" t="n">
        <f aca="false">IF(X118=1,L118,"")</f>
        <v>38.1369731056754</v>
      </c>
      <c r="AD118" s="40" t="n">
        <f aca="false">IF(X118=1,AP118/E118*100,"")</f>
        <v>443.165259697251</v>
      </c>
      <c r="AE118" s="40" t="n">
        <f aca="false">IF(X118=1,M118,"")</f>
        <v>61.9439839086977</v>
      </c>
      <c r="AF118" s="40" t="n">
        <f aca="false">E118*'Assumptions &amp; Data'!$C$63/'Assumptions &amp; Data'!$C$85*G118/100000</f>
        <v>162.614630333333</v>
      </c>
      <c r="AG118" s="49" t="n">
        <f aca="false">MAX(0,H118-$B$7)</f>
        <v>0.000283699504739915</v>
      </c>
      <c r="AH118" s="40" t="n">
        <f aca="false">AG118*AF118</f>
        <v>0.046133690089031</v>
      </c>
      <c r="AI118" s="40" t="n">
        <f aca="false">AG118*100*E118*'Assumptions &amp; Data'!$C$63/'Assumptions &amp; Data'!$C$85*M118/100000</f>
        <v>0.486428000938478</v>
      </c>
      <c r="AJ118" s="49" t="n">
        <f aca="false">MAX(0,I118-$B$8)</f>
        <v>0</v>
      </c>
      <c r="AK118" s="40" t="n">
        <f aca="false">AJ118*F118</f>
        <v>0</v>
      </c>
      <c r="AL118" s="40" t="n">
        <f aca="false">MAX(0,K118-E118/$B$10)</f>
        <v>0.0192731423082044</v>
      </c>
      <c r="AM118" s="40" t="n">
        <f aca="false">AL118*BN118/K118</f>
        <v>0.0040841715865316</v>
      </c>
      <c r="AN118" s="40" t="n">
        <f aca="false">MAX(0,J118-$B$9)</f>
        <v>0.000915863467710665</v>
      </c>
      <c r="AO118" s="40" t="n">
        <f aca="false">AN118*E118*'Assumptions &amp; Data'!$C$63/'Assumptions &amp; Data'!$C$85/100000</f>
        <v>0.000253507954984086</v>
      </c>
      <c r="AP118" s="37" t="n">
        <f aca="false">'Assumptions &amp; Data'!H154</f>
        <v>4000</v>
      </c>
      <c r="AQ118" s="39" t="n">
        <f aca="false">MIN(AP118,$B$11*E118/100)</f>
        <v>3468.11340224079</v>
      </c>
      <c r="AR118" s="39" t="n">
        <f aca="false">IF(AP118-AQ118&gt;'Assumptions &amp; Data'!$C$78*AP118,AP118-AQ118,0)</f>
        <v>0</v>
      </c>
      <c r="AS118" s="50" t="n">
        <f aca="false">'Assumptions &amp; Data'!I154</f>
        <v>160</v>
      </c>
      <c r="AT118" s="40" t="n">
        <f aca="false">INDEX('Assumptions &amp; Data'!$B$89:$E$94,MATCH(B118,'Assumptions &amp; Data'!$A$89:$A$94,0),MATCH(C118,'Assumptions &amp; Data'!$B$88:$E$88,0))</f>
        <v>179</v>
      </c>
      <c r="AU118" s="39" t="n">
        <f aca="false">IF(BY118&lt;='Assumptions &amp; Data'!$C$79,1,0)</f>
        <v>0</v>
      </c>
      <c r="AV118" s="40" t="n">
        <f aca="false">AU118*(AR118*AS118+MAX(0,AS118-AT118)*(AP118-AR118))/100000</f>
        <v>0</v>
      </c>
      <c r="AW118" s="40" t="n">
        <f aca="false">'Assumptions &amp; Data'!$C$67*(AH118-'Assumptions &amp; Data'!$C$68*AI118+AK118+AM118+AO118+AV118)</f>
        <v>0.0273642537726971</v>
      </c>
      <c r="AX118" s="40" t="n">
        <f aca="false">O118+AW118</f>
        <v>2.4484258530872</v>
      </c>
      <c r="AY118" s="49" t="n">
        <f aca="false">IF(D118&lt;'Assumptions &amp; Data'!$C$64,'Assumptions &amp; Data'!$C$70,'Assumptions &amp; Data'!$C$69)</f>
        <v>0.5</v>
      </c>
      <c r="AZ118" s="40" t="n">
        <f aca="false">AY118*MAX(0,V118-E118)*'Assumptions &amp; Data'!$C$63/'Assumptions &amp; Data'!$C$85*(M118-'Assumptions &amp; Data'!$C$71)/100000</f>
        <v>4.12186396742967</v>
      </c>
      <c r="BA118" s="40" t="n">
        <f aca="false">AX118+AZ118</f>
        <v>6.57028982051688</v>
      </c>
      <c r="BB118" s="40" t="n">
        <f aca="false">BA118+(1-'Assumptions &amp; Data'!$C$67)*AV118</f>
        <v>6.57028982051688</v>
      </c>
      <c r="BC118" s="48" t="str">
        <f aca="false">'Assumptions &amp; Data'!F154</f>
        <v>DS003</v>
      </c>
      <c r="BD118" s="39" t="n">
        <f aca="false">INDEX('Assumptions &amp; Data'!$K$142:$K$201,MATCH(BC118,'Assumptions &amp; Data'!$A$142:$A$201,0))*'Assumptions &amp; Data'!$C$77</f>
        <v>1134</v>
      </c>
      <c r="BE118" s="39" t="n">
        <f aca="false">MAX(0,BD118-INDEX($E$106:$E$165,MATCH(BC118,$A$106:$A$165,0)))</f>
        <v>0</v>
      </c>
      <c r="BF118" s="39" t="n">
        <f aca="false">IF(T118&lt;='Assumptions &amp; Data'!$C$74,MIN('Assumptions &amp; Data'!$C$76*E118,BE118),0)</f>
        <v>0</v>
      </c>
      <c r="BG118" s="40" t="n">
        <f aca="false">-O118+BF118*'Assumptions &amp; Data'!$C$63/'Assumptions &amp; Data'!$C$85*($B$12-'Assumptions &amp; Data'!$C$71)/100000</f>
        <v>-2.42106159931451</v>
      </c>
      <c r="BH118" s="40" t="n">
        <f aca="false">(AS118*AP118*BY118*'Assumptions &amp; Data'!$C$82+K118*(BN118*100000/K118)*'Assumptions &amp; Data'!$C$80*(1-'Assumptions &amp; Data'!$C$81)+AP118*'Assumptions &amp; Data'!$C$83)/100000</f>
        <v>86.113797</v>
      </c>
      <c r="BI118" s="40" t="n">
        <f aca="false">'Assumptions &amp; Data'!L154*MAX(0,1-D118/'Assumptions &amp; Data'!$C$84)</f>
        <v>110.095238095238</v>
      </c>
      <c r="BJ118" s="40" t="n">
        <f aca="false">IF(BG118&gt;0,BH118/BG118,99)</f>
        <v>99</v>
      </c>
      <c r="BK118" s="2" t="str">
        <f aca="false">IF(AND(P118&gt;='Assumptions &amp; Data'!$C$65,R118&gt;=0,W118&gt;='Assumptions &amp; Data'!$C$66),"Scale",IF(OR(O118&gt;=0,AX118&gt;=0),"Optimise",IF(BA118&gt;=0,"Turn around",IF(BB118&gt;=0,"Relocate or resize",IF(AND(BF118&gt;0,BJ118&lt;='Assumptions &amp; Data'!$C$75,D118&gt;='Assumptions &amp; Data'!$C$64),"Close","Relocate or resize")))))</f>
        <v>Optimise</v>
      </c>
      <c r="BL118" s="42" t="str">
        <f aca="false">INDEX($BK$106:$BK$165,MATCH(BC118,$A$106:$A$165,0))</f>
        <v>Scale</v>
      </c>
      <c r="BM118" s="42" t="str">
        <f aca="false">IF(RANK(P118,$P$106:$P$165)&lt;=ROUND(COUNT($P$106:$P$165)/4,0),"Q1 top",IF(RANK(P118,$P$106:$P$165)&gt;COUNT($P$106:$P$165)-ROUND(COUNT($P$106:$P$165)/4,0),"Q4 bottom","Q2-Q3 middle"))</f>
        <v>Q2-Q3 middle</v>
      </c>
      <c r="BN118" s="40" t="n">
        <f aca="false">SUMIFS('Financial Analysis'!$R$71:$R$790,'Financial Analysis'!$B$71:$B$790,$A118,'Financial Analysis'!$C$71:$C$790,"&gt;="&amp;'Assumptions &amp; Data'!$C$62)/'Assumptions &amp; Data'!$C$85/100000</f>
        <v>5.01533</v>
      </c>
      <c r="BO118" s="40" t="n">
        <f aca="false">SUMIFS('Financial Analysis'!$H$71:$H$790,'Financial Analysis'!$B$71:$B$790,$A118,'Financial Analysis'!$C$71:$C$790,"&gt;="&amp;'Assumptions &amp; Data'!$C$62)/SUMIFS('Financial Analysis'!$E$71:$E$790,'Financial Analysis'!$B$71:$B$790,$A118,'Financial Analysis'!$C$71:$C$790,"&gt;="&amp;'Assumptions &amp; Data'!$C$62)</f>
        <v>555.123684892039</v>
      </c>
      <c r="BP118" s="40" t="n">
        <f aca="false">(SUMIFS('Financial Analysis'!$I$71:$I$790,'Financial Analysis'!$B$71:$B$790,$A118,'Financial Analysis'!$C$71:$C$790,"&gt;="&amp;'Assumptions &amp; Data'!$C$62)+SUMIFS('Financial Analysis'!$J$71:$J$790,'Financial Analysis'!$B$71:$B$790,$A118,'Financial Analysis'!$C$71:$C$790,"&gt;="&amp;'Assumptions &amp; Data'!$C$62)+SUMIFS('Financial Analysis'!$K$71:$K$790,'Financial Analysis'!$B$71:$B$790,$A118,'Financial Analysis'!$C$71:$C$790,"&gt;="&amp;'Assumptions &amp; Data'!$C$62))/SUMIFS('Financial Analysis'!$E$71:$E$790,'Financial Analysis'!$B$71:$B$790,$A118,'Financial Analysis'!$C$71:$C$790,"&gt;="&amp;'Assumptions &amp; Data'!$C$62)</f>
        <v>124.494862172871</v>
      </c>
      <c r="BQ118" s="40" t="n">
        <f aca="false">SUMIFS('Financial Analysis'!$L$71:$L$790,'Financial Analysis'!$B$71:$B$790,$A118,'Financial Analysis'!$C$71:$C$790,"&gt;="&amp;'Assumptions &amp; Data'!$C$62)/SUMIFS('Financial Analysis'!$E$71:$E$790,'Financial Analysis'!$B$71:$B$790,$A118,'Financial Analysis'!$C$71:$C$790,"&gt;="&amp;'Assumptions &amp; Data'!$C$62)</f>
        <v>8.58067211790513</v>
      </c>
      <c r="BR118" s="40" t="n">
        <f aca="false">SUMIFS('Financial Analysis'!$L$71:$L$790,'Financial Analysis'!$B$71:$B$790,$A118,'Financial Analysis'!$C$71:$C$790,"&gt;="&amp;'Assumptions &amp; Data'!$C$62)/SUMIFS('Financial Analysis'!$E$71:$E$790,'Financial Analysis'!$B$71:$B$790,$A118,'Financial Analysis'!$C$71:$C$790,"&gt;="&amp;'Assumptions &amp; Data'!$C$62)</f>
        <v>8.58067211790513</v>
      </c>
      <c r="BS118" s="40" t="n">
        <f aca="false">SUMIFS('Financial Analysis'!$N$71:$N$790,'Financial Analysis'!$B$71:$B$790,$A118,'Financial Analysis'!$C$71:$C$790,"&gt;="&amp;'Assumptions &amp; Data'!$C$62)/SUMIFS('Financial Analysis'!$E$71:$E$790,'Financial Analysis'!$B$71:$B$790,$A118,'Financial Analysis'!$C$71:$C$790,"&gt;="&amp;'Assumptions &amp; Data'!$C$62)</f>
        <v>38.2070724599285</v>
      </c>
      <c r="BT118" s="40" t="n">
        <f aca="false">(SUMIFS('Financial Analysis'!$O$71:$O$790,'Financial Analysis'!$B$71:$B$790,$A118,'Financial Analysis'!$C$71:$C$790,"&gt;="&amp;'Assumptions &amp; Data'!$C$62)+SUMIFS('Financial Analysis'!$P$71:$P$790,'Financial Analysis'!$B$71:$B$790,$A118,'Financial Analysis'!$C$71:$C$790,"&gt;="&amp;'Assumptions &amp; Data'!$C$62))/SUMIFS('Financial Analysis'!$E$71:$E$790,'Financial Analysis'!$B$71:$B$790,$A118,'Financial Analysis'!$C$71:$C$790,"&gt;="&amp;'Assumptions &amp; Data'!$C$62)</f>
        <v>15.76313368634</v>
      </c>
      <c r="BU118" s="40" t="n">
        <f aca="false">SUMIFS('Financial Analysis'!$R$71:$R$790,'Financial Analysis'!$B$71:$B$790,$A118,'Financial Analysis'!$C$71:$C$790,"&gt;="&amp;'Assumptions &amp; Data'!$C$62)/SUMIFS('Financial Analysis'!$E$71:$E$790,'Financial Analysis'!$B$71:$B$790,$A118,'Financial Analysis'!$C$71:$C$790,"&gt;="&amp;'Assumptions &amp; Data'!$C$62)</f>
        <v>18.1191849612833</v>
      </c>
      <c r="BV118" s="40" t="n">
        <f aca="false">SUMIFS('Financial Analysis'!$S$71:$S$790,'Financial Analysis'!$B$71:$B$790,$A118,'Financial Analysis'!$C$71:$C$790,"&gt;="&amp;'Assumptions &amp; Data'!$C$62)/SUMIFS('Financial Analysis'!$E$71:$E$790,'Financial Analysis'!$B$71:$B$790,$A118,'Financial Analysis'!$C$71:$C$790,"&gt;="&amp;'Assumptions &amp; Data'!$C$62)</f>
        <v>23.1216657233348</v>
      </c>
      <c r="BW118" s="40" t="n">
        <f aca="false">(SUMIFS('Financial Analysis'!$T$71:$T$790,'Financial Analysis'!$B$71:$B$790,$A118,'Financial Analysis'!$C$71:$C$790,"&gt;="&amp;'Assumptions &amp; Data'!$C$62)+SUMIFS('Financial Analysis'!$U$71:$U$790,'Financial Analysis'!$B$71:$B$790,$A118,'Financial Analysis'!$C$71:$C$790,"&gt;="&amp;'Assumptions &amp; Data'!$C$62))/SUMIFS('Financial Analysis'!$E$71:$E$790,'Financial Analysis'!$B$71:$B$790,$A118,'Financial Analysis'!$C$71:$C$790,"&gt;="&amp;'Assumptions &amp; Data'!$C$62)</f>
        <v>11.9564180686184</v>
      </c>
      <c r="BX118" s="40" t="n">
        <f aca="false">SUMIFS('Financial Analysis'!$V$71:$V$790,'Financial Analysis'!$B$71:$B$790,$A118,'Financial Analysis'!$C$71:$C$790,"&gt;="&amp;'Assumptions &amp; Data'!$C$62)/SUMIFS('Financial Analysis'!$E$71:$E$790,'Financial Analysis'!$B$71:$B$790,$A118,'Financial Analysis'!$C$71:$C$790,"&gt;="&amp;'Assumptions &amp; Data'!$C$62)</f>
        <v>8.74671515546132</v>
      </c>
      <c r="BY118" s="37" t="n">
        <f aca="false">'Assumptions &amp; Data'!J154</f>
        <v>24</v>
      </c>
      <c r="BZ118" s="39" t="str">
        <f aca="false">IF(BK118="Close",COUNTIF($BK$106:BK118,"Close"),"")</f>
        <v/>
      </c>
    </row>
    <row r="119" customFormat="false" ht="15" hidden="false" customHeight="false" outlineLevel="0" collapsed="false">
      <c r="A119" s="48" t="str">
        <f aca="false">'Assumptions &amp; Data'!A155</f>
        <v>DS014</v>
      </c>
      <c r="B119" s="48" t="str">
        <f aca="false">'Assumptions &amp; Data'!B155</f>
        <v>Delhi NCR</v>
      </c>
      <c r="C119" s="48" t="str">
        <f aca="false">'Assumptions &amp; Data'!C155</f>
        <v>Mixed use</v>
      </c>
      <c r="D119" s="37" t="n">
        <f aca="false">'Assumptions &amp; Data'!D155</f>
        <v>18</v>
      </c>
      <c r="E119" s="39" t="n">
        <f aca="false">SUMIFS('Financial Analysis'!$E$71:$E$790,'Financial Analysis'!$B$71:$B$790,$A119,'Financial Analysis'!$C$71:$C$790,"&gt;="&amp;'Assumptions &amp; Data'!$C$62)/'Assumptions &amp; Data'!$C$63</f>
        <v>918.347826086957</v>
      </c>
      <c r="F119" s="40" t="n">
        <f aca="false">SUMIFS('Financial Analysis'!$H$71:$H$790,'Financial Analysis'!$B$71:$B$790,$A119,'Financial Analysis'!$C$71:$C$790,"&gt;="&amp;'Assumptions &amp; Data'!$C$62)/'Assumptions &amp; Data'!$C$85/100000</f>
        <v>171.685972849</v>
      </c>
      <c r="G119" s="40" t="n">
        <f aca="false">SUMIFS('Financial Analysis'!$F$71:$F$790,'Financial Analysis'!$B$71:$B$790,$A119,'Financial Analysis'!$C$71:$C$790,"&gt;="&amp;'Assumptions &amp; Data'!$C$62)/SUMIFS('Financial Analysis'!$E$71:$E$790,'Financial Analysis'!$B$71:$B$790,$A119,'Financial Analysis'!$C$71:$C$790,"&gt;="&amp;'Assumptions &amp; Data'!$C$62)</f>
        <v>644.264327478458</v>
      </c>
      <c r="H119" s="49" t="n">
        <f aca="false">SUMIFS('Financial Analysis'!$G$71:$G$790,'Financial Analysis'!$B$71:$B$790,$A119,'Financial Analysis'!$C$71:$C$790,"&gt;="&amp;'Assumptions &amp; Data'!$C$62)/SUMIFS('Financial Analysis'!$F$71:$F$790,'Financial Analysis'!$B$71:$B$790,$A119,'Financial Analysis'!$C$71:$C$790,"&gt;="&amp;'Assumptions &amp; Data'!$C$62)</f>
        <v>0.0537694764412752</v>
      </c>
      <c r="I119" s="49" t="n">
        <f aca="false">SUMIFS('Financial Analysis'!$L$71:$L$790,'Financial Analysis'!$B$71:$B$790,$A119,'Financial Analysis'!$C$71:$C$790,"&gt;="&amp;'Assumptions &amp; Data'!$C$62)/SUMIFS('Financial Analysis'!$H$71:$H$790,'Financial Analysis'!$B$71:$B$790,$A119,'Financial Analysis'!$C$71:$C$790,"&gt;="&amp;'Assumptions &amp; Data'!$C$62)</f>
        <v>0.0352</v>
      </c>
      <c r="J119" s="40" t="n">
        <f aca="false">SUMIFS('Financial Analysis'!$N$71:$N$790,'Financial Analysis'!$B$71:$B$790,$A119,'Financial Analysis'!$C$71:$C$790,"&gt;="&amp;'Assumptions &amp; Data'!$C$62)/SUMIFS('Financial Analysis'!$E$71:$E$790,'Financial Analysis'!$B$71:$B$790,$A119,'Financial Analysis'!$C$71:$C$790,"&gt;="&amp;'Assumptions &amp; Data'!$C$62)</f>
        <v>35.7798293248745</v>
      </c>
      <c r="K119" s="40" t="n">
        <f aca="false">SUMIFS('Financial Analysis'!$R$71:$R$790,'Financial Analysis'!$B$71:$B$790,$A119,'Financial Analysis'!$C$71:$C$790,"&gt;="&amp;'Assumptions &amp; Data'!$C$62)/AVERAGEIFS('Assumptions &amp; Data'!$M$205:$M$924,'Assumptions &amp; Data'!$B$205:$B$924,$A119,'Assumptions &amp; Data'!$C$205:$C$924,"&gt;="&amp;'Assumptions &amp; Data'!$C$62)/'Assumptions &amp; Data'!$C$85</f>
        <v>19.3336322023501</v>
      </c>
      <c r="L119" s="40" t="n">
        <f aca="false">E119/K119</f>
        <v>47.5000153346938</v>
      </c>
      <c r="M119" s="40" t="n">
        <f aca="false">SUMIFS('Financial Analysis'!$Q$71:$Q$790,'Financial Analysis'!$B$71:$B$790,$A119,'Financial Analysis'!$C$71:$C$790,"&gt;="&amp;'Assumptions &amp; Data'!$C$62)/SUMIFS('Financial Analysis'!$E$71:$E$790,'Financial Analysis'!$B$71:$B$790,$A119,'Financial Analysis'!$C$71:$C$790,"&gt;="&amp;'Assumptions &amp; Data'!$C$62)</f>
        <v>55.4406853073989</v>
      </c>
      <c r="N119" s="40" t="n">
        <f aca="false">SUMIFS('Financial Analysis'!$Y$71:$Y$790,'Financial Analysis'!$B$71:$B$790,$A119,'Financial Analysis'!$C$71:$C$790,"&gt;="&amp;'Assumptions &amp; Data'!$C$62)/'Assumptions &amp; Data'!$C$85/100000</f>
        <v>13.35825</v>
      </c>
      <c r="O119" s="40" t="n">
        <f aca="false">SUMIFS('Financial Analysis'!$V$71:$V$790,'Financial Analysis'!$B$71:$B$790,$A119,'Financial Analysis'!$C$71:$C$790,"&gt;="&amp;'Assumptions &amp; Data'!$C$62)/'Assumptions &amp; Data'!$C$85/100000</f>
        <v>2.25532540083838</v>
      </c>
      <c r="P119" s="49" t="n">
        <f aca="false">O119/F119</f>
        <v>0.0131363405140964</v>
      </c>
      <c r="Q119" s="39" t="n">
        <f aca="false">IF(M119&gt;0,N119*100000/(M119*'Assumptions &amp; Data'!$C$63/'Assumptions &amp; Data'!$C$85),9999)</f>
        <v>785.695750837914</v>
      </c>
      <c r="R119" s="49" t="n">
        <f aca="false">E119/Q119-1</f>
        <v>0.168833896718386</v>
      </c>
      <c r="S119" s="50" t="n">
        <f aca="false">'Assumptions &amp; Data'!E155</f>
        <v>34.9</v>
      </c>
      <c r="T119" s="50" t="n">
        <f aca="false">'Assumptions &amp; Data'!G155</f>
        <v>3</v>
      </c>
      <c r="U119" s="49" t="n">
        <f aca="false">MAX(0,('Assumptions &amp; Data'!$C$72-T119)/'Assumptions &amp; Data'!$C$72)*'Assumptions &amp; Data'!$C$73</f>
        <v>0</v>
      </c>
      <c r="V119" s="39" t="n">
        <f aca="false">S119*$B$6*(1-U119)</f>
        <v>1243.19124746044</v>
      </c>
      <c r="W119" s="49" t="n">
        <f aca="false">V119/E119-1</f>
        <v>0.353725910973873</v>
      </c>
      <c r="X119" s="39" t="n">
        <f aca="false">IF(D119&gt;='Assumptions &amp; Data'!$C$64,1,0)</f>
        <v>1</v>
      </c>
      <c r="Y119" s="40" t="n">
        <f aca="false">IF(AND(X119=1,T119&gt;='Assumptions &amp; Data'!$C$72),E119/S119,"")</f>
        <v>26.3136912918899</v>
      </c>
      <c r="Z119" s="49" t="n">
        <f aca="false">IF(X119=1,H119,"")</f>
        <v>0.0537694764412752</v>
      </c>
      <c r="AA119" s="49" t="n">
        <f aca="false">IF(X119=1,I119,"")</f>
        <v>0.0352</v>
      </c>
      <c r="AB119" s="40" t="n">
        <f aca="false">IF(X119=1,J119,"")</f>
        <v>35.7798293248745</v>
      </c>
      <c r="AC119" s="40" t="n">
        <f aca="false">IF(X119=1,L119,"")</f>
        <v>47.5000153346938</v>
      </c>
      <c r="AD119" s="40" t="n">
        <f aca="false">IF(X119=1,AP119/E119*100,"")</f>
        <v>435.564813938074</v>
      </c>
      <c r="AE119" s="40" t="n">
        <f aca="false">IF(X119=1,M119,"")</f>
        <v>55.4406853073989</v>
      </c>
      <c r="AF119" s="40" t="n">
        <f aca="false">E119*'Assumptions &amp; Data'!$C$63/'Assumptions &amp; Data'!$C$85*G119/100000</f>
        <v>181.442015</v>
      </c>
      <c r="AG119" s="49" t="n">
        <f aca="false">MAX(0,H119-$B$7)</f>
        <v>0</v>
      </c>
      <c r="AH119" s="40" t="n">
        <f aca="false">AG119*AF119</f>
        <v>0</v>
      </c>
      <c r="AI119" s="40" t="n">
        <f aca="false">AG119*100*E119*'Assumptions &amp; Data'!$C$63/'Assumptions &amp; Data'!$C$85*M119/100000</f>
        <v>0</v>
      </c>
      <c r="AJ119" s="49" t="n">
        <f aca="false">MAX(0,I119-$B$8)</f>
        <v>0.0137954062897129</v>
      </c>
      <c r="AK119" s="40" t="n">
        <f aca="false">AJ119*F119</f>
        <v>2.36847774969657</v>
      </c>
      <c r="AL119" s="40" t="n">
        <f aca="false">MAX(0,K119-E119/$B$10)</f>
        <v>0</v>
      </c>
      <c r="AM119" s="40" t="n">
        <f aca="false">AL119*BN119/K119</f>
        <v>0</v>
      </c>
      <c r="AN119" s="40" t="n">
        <f aca="false">MAX(0,J119-$B$9)</f>
        <v>0</v>
      </c>
      <c r="AO119" s="40" t="n">
        <f aca="false">AN119*E119*'Assumptions &amp; Data'!$C$63/'Assumptions &amp; Data'!$C$85/100000</f>
        <v>0</v>
      </c>
      <c r="AP119" s="37" t="n">
        <f aca="false">'Assumptions &amp; Data'!H155</f>
        <v>4000</v>
      </c>
      <c r="AQ119" s="39" t="n">
        <f aca="false">MIN(AP119,$B$11*E119/100)</f>
        <v>3528.63070519298</v>
      </c>
      <c r="AR119" s="39" t="n">
        <f aca="false">IF(AP119-AQ119&gt;'Assumptions &amp; Data'!$C$78*AP119,AP119-AQ119,0)</f>
        <v>0</v>
      </c>
      <c r="AS119" s="50" t="n">
        <f aca="false">'Assumptions &amp; Data'!I155</f>
        <v>144</v>
      </c>
      <c r="AT119" s="40" t="n">
        <f aca="false">INDEX('Assumptions &amp; Data'!$B$89:$E$94,MATCH(B119,'Assumptions &amp; Data'!$A$89:$A$94,0),MATCH(C119,'Assumptions &amp; Data'!$B$88:$E$88,0))</f>
        <v>157</v>
      </c>
      <c r="AU119" s="39" t="n">
        <f aca="false">IF(BY119&lt;='Assumptions &amp; Data'!$C$79,1,0)</f>
        <v>1</v>
      </c>
      <c r="AV119" s="40" t="n">
        <f aca="false">AU119*(AR119*AS119+MAX(0,AS119-AT119)*(AP119-AR119))/100000</f>
        <v>0</v>
      </c>
      <c r="AW119" s="40" t="n">
        <f aca="false">'Assumptions &amp; Data'!$C$67*(AH119-'Assumptions &amp; Data'!$C$68*AI119+AK119+AM119+AO119+AV119)</f>
        <v>1.42108664981794</v>
      </c>
      <c r="AX119" s="40" t="n">
        <f aca="false">O119+AW119</f>
        <v>3.67641205065632</v>
      </c>
      <c r="AY119" s="49" t="n">
        <f aca="false">IF(D119&lt;'Assumptions &amp; Data'!$C$64,'Assumptions &amp; Data'!$C$70,'Assumptions &amp; Data'!$C$69)</f>
        <v>0.5</v>
      </c>
      <c r="AZ119" s="40" t="n">
        <f aca="false">AY119*MAX(0,V119-E119)*'Assumptions &amp; Data'!$C$63/'Assumptions &amp; Data'!$C$85*(M119-'Assumptions &amp; Data'!$C$71)/100000</f>
        <v>2.2633698450044</v>
      </c>
      <c r="BA119" s="40" t="n">
        <f aca="false">AX119+AZ119</f>
        <v>5.93978189566072</v>
      </c>
      <c r="BB119" s="40" t="n">
        <f aca="false">BA119+(1-'Assumptions &amp; Data'!$C$67)*AV119</f>
        <v>5.93978189566072</v>
      </c>
      <c r="BC119" s="48" t="str">
        <f aca="false">'Assumptions &amp; Data'!F155</f>
        <v>DS009</v>
      </c>
      <c r="BD119" s="39" t="n">
        <f aca="false">INDEX('Assumptions &amp; Data'!$K$142:$K$201,MATCH(BC119,'Assumptions &amp; Data'!$A$142:$A$201,0))*'Assumptions &amp; Data'!$C$77</f>
        <v>1296</v>
      </c>
      <c r="BE119" s="39" t="n">
        <f aca="false">MAX(0,BD119-INDEX($E$106:$E$165,MATCH(BC119,$A$106:$A$165,0)))</f>
        <v>0</v>
      </c>
      <c r="BF119" s="39" t="n">
        <f aca="false">IF(T119&lt;='Assumptions &amp; Data'!$C$74,MIN('Assumptions &amp; Data'!$C$76*E119,BE119),0)</f>
        <v>0</v>
      </c>
      <c r="BG119" s="40" t="n">
        <f aca="false">-O119+BF119*'Assumptions &amp; Data'!$C$63/'Assumptions &amp; Data'!$C$85*($B$12-'Assumptions &amp; Data'!$C$71)/100000</f>
        <v>-2.25532540083838</v>
      </c>
      <c r="BH119" s="40" t="n">
        <f aca="false">(AS119*AP119*BY119*'Assumptions &amp; Data'!$C$82+K119*(BN119*100000/K119)*'Assumptions &amp; Data'!$C$80*(1-'Assumptions &amp; Data'!$C$81)+AP119*'Assumptions &amp; Data'!$C$83)/100000</f>
        <v>17.127291</v>
      </c>
      <c r="BI119" s="40" t="n">
        <f aca="false">'Assumptions &amp; Data'!L155*MAX(0,1-D119/'Assumptions &amp; Data'!$C$84)</f>
        <v>106.857142857143</v>
      </c>
      <c r="BJ119" s="40" t="n">
        <f aca="false">IF(BG119&gt;0,BH119/BG119,99)</f>
        <v>99</v>
      </c>
      <c r="BK119" s="2" t="str">
        <f aca="false">IF(AND(P119&gt;='Assumptions &amp; Data'!$C$65,R119&gt;=0,W119&gt;='Assumptions &amp; Data'!$C$66),"Scale",IF(OR(O119&gt;=0,AX119&gt;=0),"Optimise",IF(BA119&gt;=0,"Turn around",IF(BB119&gt;=0,"Relocate or resize",IF(AND(BF119&gt;0,BJ119&lt;='Assumptions &amp; Data'!$C$75,D119&gt;='Assumptions &amp; Data'!$C$64),"Close","Relocate or resize")))))</f>
        <v>Optimise</v>
      </c>
      <c r="BL119" s="42" t="str">
        <f aca="false">INDEX($BK$106:$BK$165,MATCH(BC119,$A$106:$A$165,0))</f>
        <v>Optimise</v>
      </c>
      <c r="BM119" s="42" t="str">
        <f aca="false">IF(RANK(P119,$P$106:$P$165)&lt;=ROUND(COUNT($P$106:$P$165)/4,0),"Q1 top",IF(RANK(P119,$P$106:$P$165)&gt;COUNT($P$106:$P$165)-ROUND(COUNT($P$106:$P$165)/4,0),"Q4 bottom","Q2-Q3 middle"))</f>
        <v>Q2-Q3 middle</v>
      </c>
      <c r="BN119" s="40" t="n">
        <f aca="false">SUMIFS('Financial Analysis'!$R$71:$R$790,'Financial Analysis'!$B$71:$B$790,$A119,'Financial Analysis'!$C$71:$C$790,"&gt;="&amp;'Assumptions &amp; Data'!$C$62)/'Assumptions &amp; Data'!$C$85/100000</f>
        <v>4.09699</v>
      </c>
      <c r="BO119" s="40" t="n">
        <f aca="false">SUMIFS('Financial Analysis'!$H$71:$H$790,'Financial Analysis'!$B$71:$B$790,$A119,'Financial Analysis'!$C$71:$C$790,"&gt;="&amp;'Assumptions &amp; Data'!$C$62)/SUMIFS('Financial Analysis'!$E$71:$E$790,'Financial Analysis'!$B$71:$B$790,$A119,'Financial Analysis'!$C$71:$C$790,"&gt;="&amp;'Assumptions &amp; Data'!$C$62)</f>
        <v>609.622571900152</v>
      </c>
      <c r="BP119" s="40" t="n">
        <f aca="false">(SUMIFS('Financial Analysis'!$I$71:$I$790,'Financial Analysis'!$B$71:$B$790,$A119,'Financial Analysis'!$C$71:$C$790,"&gt;="&amp;'Assumptions &amp; Data'!$C$62)+SUMIFS('Financial Analysis'!$J$71:$J$790,'Financial Analysis'!$B$71:$B$790,$A119,'Financial Analysis'!$C$71:$C$790,"&gt;="&amp;'Assumptions &amp; Data'!$C$62)+SUMIFS('Financial Analysis'!$K$71:$K$790,'Financial Analysis'!$B$71:$B$790,$A119,'Financial Analysis'!$C$71:$C$790,"&gt;="&amp;'Assumptions &amp; Data'!$C$62))/SUMIFS('Financial Analysis'!$E$71:$E$790,'Financial Analysis'!$B$71:$B$790,$A119,'Financial Analysis'!$C$71:$C$790,"&gt;="&amp;'Assumptions &amp; Data'!$C$62)</f>
        <v>129.039300672851</v>
      </c>
      <c r="BQ119" s="40" t="n">
        <f aca="false">SUMIFS('Financial Analysis'!$L$71:$L$790,'Financial Analysis'!$B$71:$B$790,$A119,'Financial Analysis'!$C$71:$C$790,"&gt;="&amp;'Assumptions &amp; Data'!$C$62)/SUMIFS('Financial Analysis'!$E$71:$E$790,'Financial Analysis'!$B$71:$B$790,$A119,'Financial Analysis'!$C$71:$C$790,"&gt;="&amp;'Assumptions &amp; Data'!$C$62)</f>
        <v>21.4587145308853</v>
      </c>
      <c r="BR119" s="40" t="n">
        <f aca="false">SUMIFS('Financial Analysis'!$L$71:$L$790,'Financial Analysis'!$B$71:$B$790,$A119,'Financial Analysis'!$C$71:$C$790,"&gt;="&amp;'Assumptions &amp; Data'!$C$62)/SUMIFS('Financial Analysis'!$E$71:$E$790,'Financial Analysis'!$B$71:$B$790,$A119,'Financial Analysis'!$C$71:$C$790,"&gt;="&amp;'Assumptions &amp; Data'!$C$62)</f>
        <v>21.4587145308853</v>
      </c>
      <c r="BS119" s="40" t="n">
        <f aca="false">SUMIFS('Financial Analysis'!$N$71:$N$790,'Financial Analysis'!$B$71:$B$790,$A119,'Financial Analysis'!$C$71:$C$790,"&gt;="&amp;'Assumptions &amp; Data'!$C$62)/SUMIFS('Financial Analysis'!$E$71:$E$790,'Financial Analysis'!$B$71:$B$790,$A119,'Financial Analysis'!$C$71:$C$790,"&gt;="&amp;'Assumptions &amp; Data'!$C$62)</f>
        <v>35.7798293248745</v>
      </c>
      <c r="BT119" s="40" t="n">
        <f aca="false">(SUMIFS('Financial Analysis'!$O$71:$O$790,'Financial Analysis'!$B$71:$B$790,$A119,'Financial Analysis'!$C$71:$C$790,"&gt;="&amp;'Assumptions &amp; Data'!$C$62)+SUMIFS('Financial Analysis'!$P$71:$P$790,'Financial Analysis'!$B$71:$B$790,$A119,'Financial Analysis'!$C$71:$C$790,"&gt;="&amp;'Assumptions &amp; Data'!$C$62))/SUMIFS('Financial Analysis'!$E$71:$E$790,'Financial Analysis'!$B$71:$B$790,$A119,'Financial Analysis'!$C$71:$C$790,"&gt;="&amp;'Assumptions &amp; Data'!$C$62)</f>
        <v>16.3600715096923</v>
      </c>
      <c r="BU119" s="40" t="n">
        <f aca="false">SUMIFS('Financial Analysis'!$R$71:$R$790,'Financial Analysis'!$B$71:$B$790,$A119,'Financial Analysis'!$C$71:$C$790,"&gt;="&amp;'Assumptions &amp; Data'!$C$62)/SUMIFS('Financial Analysis'!$E$71:$E$790,'Financial Analysis'!$B$71:$B$790,$A119,'Financial Analysis'!$C$71:$C$790,"&gt;="&amp;'Assumptions &amp; Data'!$C$62)</f>
        <v>14.547592557523</v>
      </c>
      <c r="BV119" s="40" t="n">
        <f aca="false">SUMIFS('Financial Analysis'!$S$71:$S$790,'Financial Analysis'!$B$71:$B$790,$A119,'Financial Analysis'!$C$71:$C$790,"&gt;="&amp;'Assumptions &amp; Data'!$C$62)/SUMIFS('Financial Analysis'!$E$71:$E$790,'Financial Analysis'!$B$71:$B$790,$A119,'Financial Analysis'!$C$71:$C$790,"&gt;="&amp;'Assumptions &amp; Data'!$C$62)</f>
        <v>20.4526086544835</v>
      </c>
      <c r="BW119" s="40" t="n">
        <f aca="false">(SUMIFS('Financial Analysis'!$T$71:$T$790,'Financial Analysis'!$B$71:$B$790,$A119,'Financial Analysis'!$C$71:$C$790,"&gt;="&amp;'Assumptions &amp; Data'!$C$62)+SUMIFS('Financial Analysis'!$U$71:$U$790,'Financial Analysis'!$B$71:$B$790,$A119,'Financial Analysis'!$C$71:$C$790,"&gt;="&amp;'Assumptions &amp; Data'!$C$62))/SUMIFS('Financial Analysis'!$E$71:$E$790,'Financial Analysis'!$B$71:$B$790,$A119,'Financial Analysis'!$C$71:$C$790,"&gt;="&amp;'Assumptions &amp; Data'!$C$62)</f>
        <v>12.4322744058328</v>
      </c>
      <c r="BX119" s="40" t="n">
        <f aca="false">SUMIFS('Financial Analysis'!$V$71:$V$790,'Financial Analysis'!$B$71:$B$790,$A119,'Financial Analysis'!$C$71:$C$790,"&gt;="&amp;'Assumptions &amp; Data'!$C$62)/SUMIFS('Financial Analysis'!$E$71:$E$790,'Financial Analysis'!$B$71:$B$790,$A119,'Financial Analysis'!$C$71:$C$790,"&gt;="&amp;'Assumptions &amp; Data'!$C$62)</f>
        <v>8.00820968955962</v>
      </c>
      <c r="BY119" s="37" t="n">
        <f aca="false">'Assumptions &amp; Data'!J155</f>
        <v>3</v>
      </c>
      <c r="BZ119" s="39" t="str">
        <f aca="false">IF(BK119="Close",COUNTIF($BK$106:BK119,"Close"),"")</f>
        <v/>
      </c>
    </row>
    <row r="120" customFormat="false" ht="15" hidden="false" customHeight="false" outlineLevel="0" collapsed="false">
      <c r="A120" s="48" t="str">
        <f aca="false">'Assumptions &amp; Data'!A156</f>
        <v>DS015</v>
      </c>
      <c r="B120" s="48" t="str">
        <f aca="false">'Assumptions &amp; Data'!B156</f>
        <v>Mumbai MMR</v>
      </c>
      <c r="C120" s="48" t="str">
        <f aca="false">'Assumptions &amp; Data'!C156</f>
        <v>Peripheral / emerging</v>
      </c>
      <c r="D120" s="37" t="n">
        <f aca="false">'Assumptions &amp; Data'!D156</f>
        <v>7</v>
      </c>
      <c r="E120" s="39" t="n">
        <f aca="false">SUMIFS('Financial Analysis'!$E$71:$E$790,'Financial Analysis'!$B$71:$B$790,$A120,'Financial Analysis'!$C$71:$C$790,"&gt;="&amp;'Assumptions &amp; Data'!$C$62)/'Assumptions &amp; Data'!$C$63</f>
        <v>340.336956521739</v>
      </c>
      <c r="F120" s="40" t="n">
        <f aca="false">SUMIFS('Financial Analysis'!$H$71:$H$790,'Financial Analysis'!$B$71:$B$790,$A120,'Financial Analysis'!$C$71:$C$790,"&gt;="&amp;'Assumptions &amp; Data'!$C$62)/'Assumptions &amp; Data'!$C$85/100000</f>
        <v>66.9328664670667</v>
      </c>
      <c r="G120" s="40" t="n">
        <f aca="false">SUMIFS('Financial Analysis'!$F$71:$F$790,'Financial Analysis'!$B$71:$B$790,$A120,'Financial Analysis'!$C$71:$C$790,"&gt;="&amp;'Assumptions &amp; Data'!$C$62)/SUMIFS('Financial Analysis'!$E$71:$E$790,'Financial Analysis'!$B$71:$B$790,$A120,'Financial Analysis'!$C$71:$C$790,"&gt;="&amp;'Assumptions &amp; Data'!$C$62)</f>
        <v>689.111146242535</v>
      </c>
      <c r="H120" s="49" t="n">
        <f aca="false">SUMIFS('Financial Analysis'!$G$71:$G$790,'Financial Analysis'!$B$71:$B$790,$A120,'Financial Analysis'!$C$71:$C$790,"&gt;="&amp;'Assumptions &amp; Data'!$C$62)/SUMIFS('Financial Analysis'!$F$71:$F$790,'Financial Analysis'!$B$71:$B$790,$A120,'Financial Analysis'!$C$71:$C$790,"&gt;="&amp;'Assumptions &amp; Data'!$C$62)</f>
        <v>0.069375532856554</v>
      </c>
      <c r="I120" s="49" t="n">
        <f aca="false">SUMIFS('Financial Analysis'!$L$71:$L$790,'Financial Analysis'!$B$71:$B$790,$A120,'Financial Analysis'!$C$71:$C$790,"&gt;="&amp;'Assumptions &amp; Data'!$C$62)/SUMIFS('Financial Analysis'!$H$71:$H$790,'Financial Analysis'!$B$71:$B$790,$A120,'Financial Analysis'!$C$71:$C$790,"&gt;="&amp;'Assumptions &amp; Data'!$C$62)</f>
        <v>0.0322280429560186</v>
      </c>
      <c r="J120" s="40" t="n">
        <f aca="false">SUMIFS('Financial Analysis'!$N$71:$N$790,'Financial Analysis'!$B$71:$B$790,$A120,'Financial Analysis'!$C$71:$C$790,"&gt;="&amp;'Assumptions &amp; Data'!$C$62)/SUMIFS('Financial Analysis'!$E$71:$E$790,'Financial Analysis'!$B$71:$B$790,$A120,'Financial Analysis'!$C$71:$C$790,"&gt;="&amp;'Assumptions &amp; Data'!$C$62)</f>
        <v>48.853296605027</v>
      </c>
      <c r="K120" s="40" t="n">
        <f aca="false">SUMIFS('Financial Analysis'!$R$71:$R$790,'Financial Analysis'!$B$71:$B$790,$A120,'Financial Analysis'!$C$71:$C$790,"&gt;="&amp;'Assumptions &amp; Data'!$C$62)/AVERAGEIFS('Assumptions &amp; Data'!$M$205:$M$924,'Assumptions &amp; Data'!$B$205:$B$924,$A120,'Assumptions &amp; Data'!$C$205:$C$924,"&gt;="&amp;'Assumptions &amp; Data'!$C$62)/'Assumptions &amp; Data'!$C$85</f>
        <v>16</v>
      </c>
      <c r="L120" s="40" t="n">
        <f aca="false">E120/K120</f>
        <v>21.2710597826087</v>
      </c>
      <c r="M120" s="40" t="n">
        <f aca="false">SUMIFS('Financial Analysis'!$Q$71:$Q$790,'Financial Analysis'!$B$71:$B$790,$A120,'Financial Analysis'!$C$71:$C$790,"&gt;="&amp;'Assumptions &amp; Data'!$C$62)/SUMIFS('Financial Analysis'!$E$71:$E$790,'Financial Analysis'!$B$71:$B$790,$A120,'Financial Analysis'!$C$71:$C$790,"&gt;="&amp;'Assumptions &amp; Data'!$C$62)</f>
        <v>46.3734792654896</v>
      </c>
      <c r="N120" s="40" t="n">
        <f aca="false">SUMIFS('Financial Analysis'!$Y$71:$Y$790,'Financial Analysis'!$B$71:$B$790,$A120,'Financial Analysis'!$C$71:$C$790,"&gt;="&amp;'Assumptions &amp; Data'!$C$62)/'Assumptions &amp; Data'!$C$85/100000</f>
        <v>12.5080766666667</v>
      </c>
      <c r="O120" s="40" t="n">
        <f aca="false">SUMIFS('Financial Analysis'!$V$71:$V$790,'Financial Analysis'!$B$71:$B$790,$A120,'Financial Analysis'!$C$71:$C$790,"&gt;="&amp;'Assumptions &amp; Data'!$C$62)/'Assumptions &amp; Data'!$C$85/100000</f>
        <v>-7.66807663572752</v>
      </c>
      <c r="P120" s="49" t="n">
        <f aca="false">O120/F120</f>
        <v>-0.114563697036649</v>
      </c>
      <c r="Q120" s="39" t="n">
        <f aca="false">IF(M120&gt;0,N120*100000/(M120*'Assumptions &amp; Data'!$C$63/'Assumptions &amp; Data'!$C$85),9999)</f>
        <v>879.537338318549</v>
      </c>
      <c r="R120" s="49" t="n">
        <f aca="false">E120/Q120-1</f>
        <v>-0.61305001880605</v>
      </c>
      <c r="S120" s="50" t="n">
        <f aca="false">'Assumptions &amp; Data'!E156</f>
        <v>31.2</v>
      </c>
      <c r="T120" s="50" t="n">
        <f aca="false">'Assumptions &amp; Data'!G156</f>
        <v>2.7</v>
      </c>
      <c r="U120" s="49" t="n">
        <f aca="false">MAX(0,('Assumptions &amp; Data'!$C$72-T120)/'Assumptions &amp; Data'!$C$72)*'Assumptions &amp; Data'!$C$73</f>
        <v>0</v>
      </c>
      <c r="V120" s="39" t="n">
        <f aca="false">S120*$B$6*(1-U120)</f>
        <v>1111.39160231421</v>
      </c>
      <c r="W120" s="49" t="n">
        <f aca="false">V120/E120-1</f>
        <v>2.26556249921455</v>
      </c>
      <c r="X120" s="39" t="n">
        <f aca="false">IF(D120&gt;='Assumptions &amp; Data'!$C$64,1,0)</f>
        <v>0</v>
      </c>
      <c r="Y120" s="40" t="str">
        <f aca="false">IF(AND(X120=1,T120&gt;='Assumptions &amp; Data'!$C$72),E120/S120,"")</f>
        <v/>
      </c>
      <c r="Z120" s="49" t="str">
        <f aca="false">IF(X120=1,H120,"")</f>
        <v/>
      </c>
      <c r="AA120" s="49" t="str">
        <f aca="false">IF(X120=1,I120,"")</f>
        <v/>
      </c>
      <c r="AB120" s="40" t="str">
        <f aca="false">IF(X120=1,J120,"")</f>
        <v/>
      </c>
      <c r="AC120" s="40" t="str">
        <f aca="false">IF(X120=1,L120,"")</f>
        <v/>
      </c>
      <c r="AD120" s="40" t="str">
        <f aca="false">IF(X120=1,AP120/E120*100,"")</f>
        <v/>
      </c>
      <c r="AE120" s="40" t="str">
        <f aca="false">IF(X120=1,M120,"")</f>
        <v/>
      </c>
      <c r="AF120" s="40" t="n">
        <f aca="false">E120*'Assumptions &amp; Data'!$C$63/'Assumptions &amp; Data'!$C$85*G120/100000</f>
        <v>71.9225303333333</v>
      </c>
      <c r="AG120" s="49" t="n">
        <f aca="false">MAX(0,H120-$B$7)</f>
        <v>0.0145704328532972</v>
      </c>
      <c r="AH120" s="40" t="n">
        <f aca="false">AG120*AF120</f>
        <v>1.04794239886106</v>
      </c>
      <c r="AI120" s="40" t="n">
        <f aca="false">AG120*100*E120*'Assumptions &amp; Data'!$C$63/'Assumptions &amp; Data'!$C$85*M120/100000</f>
        <v>7.05208954607551</v>
      </c>
      <c r="AJ120" s="49" t="n">
        <f aca="false">MAX(0,I120-$B$8)</f>
        <v>0.0108234492457315</v>
      </c>
      <c r="AK120" s="40" t="n">
        <f aca="false">AJ120*F120</f>
        <v>0.724444483077619</v>
      </c>
      <c r="AL120" s="40" t="n">
        <f aca="false">MAX(0,K120-E120/$B$10)</f>
        <v>7.08319880517886</v>
      </c>
      <c r="AM120" s="40" t="n">
        <f aca="false">AL120*BN120/K120</f>
        <v>1.64393961069396</v>
      </c>
      <c r="AN120" s="40" t="n">
        <f aca="false">MAX(0,J120-$B$9)</f>
        <v>10.6471400085662</v>
      </c>
      <c r="AO120" s="40" t="n">
        <f aca="false">AN120*E120*'Assumptions &amp; Data'!$C$63/'Assumptions &amp; Data'!$C$85/100000</f>
        <v>1.11124200269406</v>
      </c>
      <c r="AP120" s="37" t="n">
        <f aca="false">'Assumptions &amp; Data'!H156</f>
        <v>4000</v>
      </c>
      <c r="AQ120" s="39" t="n">
        <f aca="false">MIN(AP120,$B$11*E120/100)</f>
        <v>1307.69998118428</v>
      </c>
      <c r="AR120" s="39" t="n">
        <f aca="false">IF(AP120-AQ120&gt;'Assumptions &amp; Data'!$C$78*AP120,AP120-AQ120,0)</f>
        <v>2692.30001881572</v>
      </c>
      <c r="AS120" s="50" t="n">
        <f aca="false">'Assumptions &amp; Data'!I156</f>
        <v>143</v>
      </c>
      <c r="AT120" s="40" t="n">
        <f aca="false">INDEX('Assumptions &amp; Data'!$B$89:$E$94,MATCH(B120,'Assumptions &amp; Data'!$A$89:$A$94,0),MATCH(C120,'Assumptions &amp; Data'!$B$88:$E$88,0))</f>
        <v>136</v>
      </c>
      <c r="AU120" s="39" t="n">
        <f aca="false">IF(BY120&lt;='Assumptions &amp; Data'!$C$79,1,0)</f>
        <v>0</v>
      </c>
      <c r="AV120" s="40" t="n">
        <f aca="false">AU120*(AR120*AS120+MAX(0,AS120-AT120)*(AP120-AR120))/100000</f>
        <v>0</v>
      </c>
      <c r="AW120" s="40" t="n">
        <f aca="false">'Assumptions &amp; Data'!$C$67*(AH120-'Assumptions &amp; Data'!$C$68*AI120+AK120+AM120+AO120+AV120)</f>
        <v>2.67422855991957</v>
      </c>
      <c r="AX120" s="40" t="n">
        <f aca="false">O120+AW120</f>
        <v>-4.99384807580795</v>
      </c>
      <c r="AY120" s="49" t="n">
        <f aca="false">IF(D120&lt;'Assumptions &amp; Data'!$C$64,'Assumptions &amp; Data'!$C$70,'Assumptions &amp; Data'!$C$69)</f>
        <v>0.8</v>
      </c>
      <c r="AZ120" s="40" t="n">
        <f aca="false">AY120*MAX(0,V120-E120)*'Assumptions &amp; Data'!$C$63/'Assumptions &amp; Data'!$C$85*(M120-'Assumptions &amp; Data'!$C$71)/100000</f>
        <v>6.88060398869023</v>
      </c>
      <c r="BA120" s="40" t="n">
        <f aca="false">AX120+AZ120</f>
        <v>1.88675591288227</v>
      </c>
      <c r="BB120" s="40" t="n">
        <f aca="false">BA120+(1-'Assumptions &amp; Data'!$C$67)*AV120</f>
        <v>1.88675591288227</v>
      </c>
      <c r="BC120" s="48" t="str">
        <f aca="false">'Assumptions &amp; Data'!F156</f>
        <v>DS026</v>
      </c>
      <c r="BD120" s="39" t="n">
        <f aca="false">INDEX('Assumptions &amp; Data'!$K$142:$K$201,MATCH(BC120,'Assumptions &amp; Data'!$A$142:$A$201,0))*'Assumptions &amp; Data'!$C$77</f>
        <v>1458</v>
      </c>
      <c r="BE120" s="39" t="n">
        <f aca="false">MAX(0,BD120-INDEX($E$106:$E$165,MATCH(BC120,$A$106:$A$165,0)))</f>
        <v>728.880434782609</v>
      </c>
      <c r="BF120" s="39" t="n">
        <f aca="false">IF(T120&lt;='Assumptions &amp; Data'!$C$74,MIN('Assumptions &amp; Data'!$C$76*E120,BE120),0)</f>
        <v>0</v>
      </c>
      <c r="BG120" s="40" t="n">
        <f aca="false">-O120+BF120*'Assumptions &amp; Data'!$C$63/'Assumptions &amp; Data'!$C$85*($B$12-'Assumptions &amp; Data'!$C$71)/100000</f>
        <v>7.66807663572752</v>
      </c>
      <c r="BH120" s="40" t="n">
        <f aca="false">(AS120*AP120*BY120*'Assumptions &amp; Data'!$C$82+K120*(BN120*100000/K120)*'Assumptions &amp; Data'!$C$80*(1-'Assumptions &amp; Data'!$C$81)+AP120*'Assumptions &amp; Data'!$C$83)/100000</f>
        <v>76.782096</v>
      </c>
      <c r="BI120" s="40" t="n">
        <f aca="false">'Assumptions &amp; Data'!L156*MAX(0,1-D120/'Assumptions &amp; Data'!$C$84)</f>
        <v>124.666666666667</v>
      </c>
      <c r="BJ120" s="40" t="n">
        <f aca="false">IF(BG120&gt;0,BH120/BG120,99)</f>
        <v>10.0132144796588</v>
      </c>
      <c r="BK120" s="2" t="str">
        <f aca="false">IF(AND(P120&gt;='Assumptions &amp; Data'!$C$65,R120&gt;=0,W120&gt;='Assumptions &amp; Data'!$C$66),"Scale",IF(OR(O120&gt;=0,AX120&gt;=0),"Optimise",IF(BA120&gt;=0,"Turn around",IF(BB120&gt;=0,"Relocate or resize",IF(AND(BF120&gt;0,BJ120&lt;='Assumptions &amp; Data'!$C$75,D120&gt;='Assumptions &amp; Data'!$C$64),"Close","Relocate or resize")))))</f>
        <v>Turn around</v>
      </c>
      <c r="BL120" s="42" t="str">
        <f aca="false">INDEX($BK$106:$BK$165,MATCH(BC120,$A$106:$A$165,0))</f>
        <v>Relocate or resize</v>
      </c>
      <c r="BM120" s="42" t="str">
        <f aca="false">IF(RANK(P120,$P$106:$P$165)&lt;=ROUND(COUNT($P$106:$P$165)/4,0),"Q1 top",IF(RANK(P120,$P$106:$P$165)&gt;COUNT($P$106:$P$165)-ROUND(COUNT($P$106:$P$165)/4,0),"Q4 bottom","Q2-Q3 middle"))</f>
        <v>Q4 bottom</v>
      </c>
      <c r="BN120" s="40" t="n">
        <f aca="false">SUMIFS('Financial Analysis'!$R$71:$R$790,'Financial Analysis'!$B$71:$B$790,$A120,'Financial Analysis'!$C$71:$C$790,"&gt;="&amp;'Assumptions &amp; Data'!$C$62)/'Assumptions &amp; Data'!$C$85/100000</f>
        <v>3.71344</v>
      </c>
      <c r="BO120" s="40" t="n">
        <f aca="false">SUMIFS('Financial Analysis'!$H$71:$H$790,'Financial Analysis'!$B$71:$B$790,$A120,'Financial Analysis'!$C$71:$C$790,"&gt;="&amp;'Assumptions &amp; Data'!$C$62)/SUMIFS('Financial Analysis'!$E$71:$E$790,'Financial Analysis'!$B$71:$B$790,$A120,'Financial Analysis'!$C$71:$C$790,"&gt;="&amp;'Assumptions &amp; Data'!$C$62)</f>
        <v>641.303693274568</v>
      </c>
      <c r="BP120" s="40" t="n">
        <f aca="false">(SUMIFS('Financial Analysis'!$I$71:$I$790,'Financial Analysis'!$B$71:$B$790,$A120,'Financial Analysis'!$C$71:$C$790,"&gt;="&amp;'Assumptions &amp; Data'!$C$62)+SUMIFS('Financial Analysis'!$J$71:$J$790,'Financial Analysis'!$B$71:$B$790,$A120,'Financial Analysis'!$C$71:$C$790,"&gt;="&amp;'Assumptions &amp; Data'!$C$62)+SUMIFS('Financial Analysis'!$K$71:$K$790,'Financial Analysis'!$B$71:$B$790,$A120,'Financial Analysis'!$C$71:$C$790,"&gt;="&amp;'Assumptions &amp; Data'!$C$62))/SUMIFS('Financial Analysis'!$E$71:$E$790,'Financial Analysis'!$B$71:$B$790,$A120,'Financial Analysis'!$C$71:$C$790,"&gt;="&amp;'Assumptions &amp; Data'!$C$62)</f>
        <v>132.993901011933</v>
      </c>
      <c r="BQ120" s="40" t="n">
        <f aca="false">SUMIFS('Financial Analysis'!$L$71:$L$790,'Financial Analysis'!$B$71:$B$790,$A120,'Financial Analysis'!$C$71:$C$790,"&gt;="&amp;'Assumptions &amp; Data'!$C$62)/SUMIFS('Financial Analysis'!$E$71:$E$790,'Financial Analysis'!$B$71:$B$790,$A120,'Financial Analysis'!$C$71:$C$790,"&gt;="&amp;'Assumptions &amp; Data'!$C$62)</f>
        <v>20.6679629747061</v>
      </c>
      <c r="BR120" s="40" t="n">
        <f aca="false">SUMIFS('Financial Analysis'!$L$71:$L$790,'Financial Analysis'!$B$71:$B$790,$A120,'Financial Analysis'!$C$71:$C$790,"&gt;="&amp;'Assumptions &amp; Data'!$C$62)/SUMIFS('Financial Analysis'!$E$71:$E$790,'Financial Analysis'!$B$71:$B$790,$A120,'Financial Analysis'!$C$71:$C$790,"&gt;="&amp;'Assumptions &amp; Data'!$C$62)</f>
        <v>20.6679629747061</v>
      </c>
      <c r="BS120" s="40" t="n">
        <f aca="false">SUMIFS('Financial Analysis'!$N$71:$N$790,'Financial Analysis'!$B$71:$B$790,$A120,'Financial Analysis'!$C$71:$C$790,"&gt;="&amp;'Assumptions &amp; Data'!$C$62)/SUMIFS('Financial Analysis'!$E$71:$E$790,'Financial Analysis'!$B$71:$B$790,$A120,'Financial Analysis'!$C$71:$C$790,"&gt;="&amp;'Assumptions &amp; Data'!$C$62)</f>
        <v>48.853296605027</v>
      </c>
      <c r="BT120" s="40" t="n">
        <f aca="false">(SUMIFS('Financial Analysis'!$O$71:$O$790,'Financial Analysis'!$B$71:$B$790,$A120,'Financial Analysis'!$C$71:$C$790,"&gt;="&amp;'Assumptions &amp; Data'!$C$62)+SUMIFS('Financial Analysis'!$P$71:$P$790,'Financial Analysis'!$B$71:$B$790,$A120,'Financial Analysis'!$C$71:$C$790,"&gt;="&amp;'Assumptions &amp; Data'!$C$62))/SUMIFS('Financial Analysis'!$E$71:$E$790,'Financial Analysis'!$B$71:$B$790,$A120,'Financial Analysis'!$C$71:$C$790,"&gt;="&amp;'Assumptions &amp; Data'!$C$62)</f>
        <v>17.0991621667102</v>
      </c>
      <c r="BU120" s="40" t="n">
        <f aca="false">SUMIFS('Financial Analysis'!$R$71:$R$790,'Financial Analysis'!$B$71:$B$790,$A120,'Financial Analysis'!$C$71:$C$790,"&gt;="&amp;'Assumptions &amp; Data'!$C$62)/SUMIFS('Financial Analysis'!$E$71:$E$790,'Financial Analysis'!$B$71:$B$790,$A120,'Financial Analysis'!$C$71:$C$790,"&gt;="&amp;'Assumptions &amp; Data'!$C$62)</f>
        <v>35.5795726741401</v>
      </c>
      <c r="BV120" s="40" t="n">
        <f aca="false">SUMIFS('Financial Analysis'!$S$71:$S$790,'Financial Analysis'!$B$71:$B$790,$A120,'Financial Analysis'!$C$71:$C$790,"&gt;="&amp;'Assumptions &amp; Data'!$C$62)/SUMIFS('Financial Analysis'!$E$71:$E$790,'Financial Analysis'!$B$71:$B$790,$A120,'Financial Analysis'!$C$71:$C$790,"&gt;="&amp;'Assumptions &amp; Data'!$C$62)</f>
        <v>54.8050205997892</v>
      </c>
      <c r="BW120" s="40" t="n">
        <f aca="false">(SUMIFS('Financial Analysis'!$T$71:$T$790,'Financial Analysis'!$B$71:$B$790,$A120,'Financial Analysis'!$C$71:$C$790,"&gt;="&amp;'Assumptions &amp; Data'!$C$62)+SUMIFS('Financial Analysis'!$U$71:$U$790,'Financial Analysis'!$B$71:$B$790,$A120,'Financial Analysis'!$C$71:$C$790,"&gt;="&amp;'Assumptions &amp; Data'!$C$62))/SUMIFS('Financial Analysis'!$E$71:$E$790,'Financial Analysis'!$B$71:$B$790,$A120,'Financial Analysis'!$C$71:$C$790,"&gt;="&amp;'Assumptions &amp; Data'!$C$62)</f>
        <v>29.4590080163521</v>
      </c>
      <c r="BX120" s="40" t="n">
        <f aca="false">SUMIFS('Financial Analysis'!$V$71:$V$790,'Financial Analysis'!$B$71:$B$790,$A120,'Financial Analysis'!$C$71:$C$790,"&gt;="&amp;'Assumptions &amp; Data'!$C$62)/SUMIFS('Financial Analysis'!$E$71:$E$790,'Financial Analysis'!$B$71:$B$790,$A120,'Financial Analysis'!$C$71:$C$790,"&gt;="&amp;'Assumptions &amp; Data'!$C$62)</f>
        <v>-73.4701220247918</v>
      </c>
      <c r="BY120" s="37" t="n">
        <f aca="false">'Assumptions &amp; Data'!J156</f>
        <v>24</v>
      </c>
      <c r="BZ120" s="39" t="str">
        <f aca="false">IF(BK120="Close",COUNTIF($BK$106:BK120,"Close"),"")</f>
        <v/>
      </c>
    </row>
    <row r="121" customFormat="false" ht="15" hidden="false" customHeight="false" outlineLevel="0" collapsed="false">
      <c r="A121" s="48" t="str">
        <f aca="false">'Assumptions &amp; Data'!A157</f>
        <v>DS016</v>
      </c>
      <c r="B121" s="48" t="str">
        <f aca="false">'Assumptions &amp; Data'!B157</f>
        <v>Mumbai MMR</v>
      </c>
      <c r="C121" s="48" t="str">
        <f aca="false">'Assumptions &amp; Data'!C157</f>
        <v>Mixed use</v>
      </c>
      <c r="D121" s="37" t="n">
        <f aca="false">'Assumptions &amp; Data'!D157</f>
        <v>14</v>
      </c>
      <c r="E121" s="39" t="n">
        <f aca="false">SUMIFS('Financial Analysis'!$E$71:$E$790,'Financial Analysis'!$B$71:$B$790,$A121,'Financial Analysis'!$C$71:$C$790,"&gt;="&amp;'Assumptions &amp; Data'!$C$62)/'Assumptions &amp; Data'!$C$63</f>
        <v>822.108695652174</v>
      </c>
      <c r="F121" s="40" t="n">
        <f aca="false">SUMIFS('Financial Analysis'!$H$71:$H$790,'Financial Analysis'!$B$71:$B$790,$A121,'Financial Analysis'!$C$71:$C$790,"&gt;="&amp;'Assumptions &amp; Data'!$C$62)/'Assumptions &amp; Data'!$C$85/100000</f>
        <v>159.5461968664</v>
      </c>
      <c r="G121" s="40" t="n">
        <f aca="false">SUMIFS('Financial Analysis'!$F$71:$F$790,'Financial Analysis'!$B$71:$B$790,$A121,'Financial Analysis'!$C$71:$C$790,"&gt;="&amp;'Assumptions &amp; Data'!$C$62)/SUMIFS('Financial Analysis'!$E$71:$E$790,'Financial Analysis'!$B$71:$B$790,$A121,'Financial Analysis'!$C$71:$C$790,"&gt;="&amp;'Assumptions &amp; Data'!$C$62)</f>
        <v>669.535365047465</v>
      </c>
      <c r="H121" s="49" t="n">
        <f aca="false">SUMIFS('Financial Analysis'!$G$71:$G$790,'Financial Analysis'!$B$71:$B$790,$A121,'Financial Analysis'!$C$71:$C$790,"&gt;="&amp;'Assumptions &amp; Data'!$C$62)/SUMIFS('Financial Analysis'!$F$71:$F$790,'Financial Analysis'!$B$71:$B$790,$A121,'Financial Analysis'!$C$71:$C$790,"&gt;="&amp;'Assumptions &amp; Data'!$C$62)</f>
        <v>0.0548143482195285</v>
      </c>
      <c r="I121" s="49" t="n">
        <f aca="false">SUMIFS('Financial Analysis'!$L$71:$L$790,'Financial Analysis'!$B$71:$B$790,$A121,'Financial Analysis'!$C$71:$C$790,"&gt;="&amp;'Assumptions &amp; Data'!$C$62)/SUMIFS('Financial Analysis'!$H$71:$H$790,'Financial Analysis'!$B$71:$B$790,$A121,'Financial Analysis'!$C$71:$C$790,"&gt;="&amp;'Assumptions &amp; Data'!$C$62)</f>
        <v>0.0182181195519356</v>
      </c>
      <c r="J121" s="40" t="n">
        <f aca="false">SUMIFS('Financial Analysis'!$N$71:$N$790,'Financial Analysis'!$B$71:$B$790,$A121,'Financial Analysis'!$C$71:$C$790,"&gt;="&amp;'Assumptions &amp; Data'!$C$62)/SUMIFS('Financial Analysis'!$E$71:$E$790,'Financial Analysis'!$B$71:$B$790,$A121,'Financial Analysis'!$C$71:$C$790,"&gt;="&amp;'Assumptions &amp; Data'!$C$62)</f>
        <v>43.4217552952376</v>
      </c>
      <c r="K121" s="40" t="n">
        <f aca="false">SUMIFS('Financial Analysis'!$R$71:$R$790,'Financial Analysis'!$B$71:$B$790,$A121,'Financial Analysis'!$C$71:$C$790,"&gt;="&amp;'Assumptions &amp; Data'!$C$62)/AVERAGEIFS('Assumptions &amp; Data'!$M$205:$M$924,'Assumptions &amp; Data'!$B$205:$B$924,$A121,'Assumptions &amp; Data'!$C$205:$C$924,"&gt;="&amp;'Assumptions &amp; Data'!$C$62)/'Assumptions &amp; Data'!$C$85</f>
        <v>17.0003016071352</v>
      </c>
      <c r="L121" s="40" t="n">
        <f aca="false">E121/K121</f>
        <v>48.3584770817906</v>
      </c>
      <c r="M121" s="40" t="n">
        <f aca="false">SUMIFS('Financial Analysis'!$Q$71:$Q$790,'Financial Analysis'!$B$71:$B$790,$A121,'Financial Analysis'!$C$71:$C$790,"&gt;="&amp;'Assumptions &amp; Data'!$C$62)/SUMIFS('Financial Analysis'!$E$71:$E$790,'Financial Analysis'!$B$71:$B$790,$A121,'Financial Analysis'!$C$71:$C$790,"&gt;="&amp;'Assumptions &amp; Data'!$C$62)</f>
        <v>65.2529460143446</v>
      </c>
      <c r="N121" s="40" t="n">
        <f aca="false">SUMIFS('Financial Analysis'!$Y$71:$Y$790,'Financial Analysis'!$B$71:$B$790,$A121,'Financial Analysis'!$C$71:$C$790,"&gt;="&amp;'Assumptions &amp; Data'!$C$62)/'Assumptions &amp; Data'!$C$85/100000</f>
        <v>22.2613833333333</v>
      </c>
      <c r="O121" s="40" t="n">
        <f aca="false">SUMIFS('Financial Analysis'!$V$71:$V$790,'Financial Analysis'!$B$71:$B$790,$A121,'Financial Analysis'!$C$71:$C$790,"&gt;="&amp;'Assumptions &amp; Data'!$C$62)/'Assumptions &amp; Data'!$C$85/100000</f>
        <v>-5.81024560383688</v>
      </c>
      <c r="P121" s="49" t="n">
        <f aca="false">O121/F121</f>
        <v>-0.0364173243734681</v>
      </c>
      <c r="Q121" s="39" t="n">
        <f aca="false">IF(M121&gt;0,N121*100000/(M121*'Assumptions &amp; Data'!$C$63/'Assumptions &amp; Data'!$C$85),9999)</f>
        <v>1112.46268291621</v>
      </c>
      <c r="R121" s="49" t="n">
        <f aca="false">E121/Q121-1</f>
        <v>-0.261001102978935</v>
      </c>
      <c r="S121" s="50" t="n">
        <f aca="false">'Assumptions &amp; Data'!E157</f>
        <v>32.2</v>
      </c>
      <c r="T121" s="50" t="n">
        <f aca="false">'Assumptions &amp; Data'!G157</f>
        <v>2</v>
      </c>
      <c r="U121" s="49" t="n">
        <f aca="false">MAX(0,('Assumptions &amp; Data'!$C$72-T121)/'Assumptions &amp; Data'!$C$72)*'Assumptions &amp; Data'!$C$73</f>
        <v>0</v>
      </c>
      <c r="V121" s="39" t="n">
        <f aca="false">S121*$B$6*(1-U121)</f>
        <v>1147.0131280294</v>
      </c>
      <c r="W121" s="49" t="n">
        <f aca="false">V121/E121-1</f>
        <v>0.39520860695858</v>
      </c>
      <c r="X121" s="39" t="n">
        <f aca="false">IF(D121&gt;='Assumptions &amp; Data'!$C$64,1,0)</f>
        <v>1</v>
      </c>
      <c r="Y121" s="40" t="n">
        <f aca="false">IF(AND(X121=1,T121&gt;='Assumptions &amp; Data'!$C$72),E121/S121,"")</f>
        <v>25.5313259519309</v>
      </c>
      <c r="Z121" s="49" t="n">
        <f aca="false">IF(X121=1,H121,"")</f>
        <v>0.0548143482195285</v>
      </c>
      <c r="AA121" s="49" t="n">
        <f aca="false">IF(X121=1,I121,"")</f>
        <v>0.0182181195519356</v>
      </c>
      <c r="AB121" s="40" t="n">
        <f aca="false">IF(X121=1,J121,"")</f>
        <v>43.4217552952376</v>
      </c>
      <c r="AC121" s="40" t="n">
        <f aca="false">IF(X121=1,L121,"")</f>
        <v>48.3584770817906</v>
      </c>
      <c r="AD121" s="40" t="n">
        <f aca="false">IF(X121=1,AP121/E121*100,"")</f>
        <v>608.192082925668</v>
      </c>
      <c r="AE121" s="40" t="n">
        <f aca="false">IF(X121=1,M121,"")</f>
        <v>65.2529460143446</v>
      </c>
      <c r="AF121" s="40" t="n">
        <f aca="false">E121*'Assumptions &amp; Data'!$C$63/'Assumptions &amp; Data'!$C$85*G121/100000</f>
        <v>168.798792666667</v>
      </c>
      <c r="AG121" s="49" t="n">
        <f aca="false">MAX(0,H121-$B$7)</f>
        <v>9.24821627174693E-006</v>
      </c>
      <c r="AH121" s="40" t="n">
        <f aca="false">AG121*AF121</f>
        <v>0.0015610877409911</v>
      </c>
      <c r="AI121" s="40" t="n">
        <f aca="false">AG121*100*E121*'Assumptions &amp; Data'!$C$63/'Assumptions &amp; Data'!$C$85*M121/100000</f>
        <v>0.0152143679638679</v>
      </c>
      <c r="AJ121" s="49" t="n">
        <f aca="false">MAX(0,I121-$B$8)</f>
        <v>0</v>
      </c>
      <c r="AK121" s="40" t="n">
        <f aca="false">AJ121*F121</f>
        <v>0</v>
      </c>
      <c r="AL121" s="40" t="n">
        <f aca="false">MAX(0,K121-E121/$B$10)</f>
        <v>0</v>
      </c>
      <c r="AM121" s="40" t="n">
        <f aca="false">AL121*BN121/K121</f>
        <v>0</v>
      </c>
      <c r="AN121" s="40" t="n">
        <f aca="false">MAX(0,J121-$B$9)</f>
        <v>5.21559869877684</v>
      </c>
      <c r="AO121" s="40" t="n">
        <f aca="false">AN121*E121*'Assumptions &amp; Data'!$C$63/'Assumptions &amp; Data'!$C$85/100000</f>
        <v>1.31492197327762</v>
      </c>
      <c r="AP121" s="37" t="n">
        <f aca="false">'Assumptions &amp; Data'!H157</f>
        <v>5000</v>
      </c>
      <c r="AQ121" s="39" t="n">
        <f aca="false">MIN(AP121,$B$11*E121/100)</f>
        <v>3158.84450758174</v>
      </c>
      <c r="AR121" s="39" t="n">
        <f aca="false">IF(AP121-AQ121&gt;'Assumptions &amp; Data'!$C$78*AP121,AP121-AQ121,0)</f>
        <v>1841.15549241826</v>
      </c>
      <c r="AS121" s="50" t="n">
        <f aca="false">'Assumptions &amp; Data'!I157</f>
        <v>286</v>
      </c>
      <c r="AT121" s="40" t="n">
        <f aca="false">INDEX('Assumptions &amp; Data'!$B$89:$E$94,MATCH(B121,'Assumptions &amp; Data'!$A$89:$A$94,0),MATCH(C121,'Assumptions &amp; Data'!$B$88:$E$88,0))</f>
        <v>213</v>
      </c>
      <c r="AU121" s="39" t="n">
        <f aca="false">IF(BY121&lt;='Assumptions &amp; Data'!$C$79,1,0)</f>
        <v>0</v>
      </c>
      <c r="AV121" s="40" t="n">
        <f aca="false">AU121*(AR121*AS121+MAX(0,AS121-AT121)*(AP121-AR121))/100000</f>
        <v>0</v>
      </c>
      <c r="AW121" s="40" t="n">
        <f aca="false">'Assumptions &amp; Data'!$C$67*(AH121-'Assumptions &amp; Data'!$C$68*AI121+AK121+AM121+AO121+AV121)</f>
        <v>0.789798550403386</v>
      </c>
      <c r="AX121" s="40" t="n">
        <f aca="false">O121+AW121</f>
        <v>-5.0204470534335</v>
      </c>
      <c r="AY121" s="49" t="n">
        <f aca="false">IF(D121&lt;'Assumptions &amp; Data'!$C$64,'Assumptions &amp; Data'!$C$70,'Assumptions &amp; Data'!$C$69)</f>
        <v>0.5</v>
      </c>
      <c r="AZ121" s="40" t="n">
        <f aca="false">AY121*MAX(0,V121-E121)*'Assumptions &amp; Data'!$C$63/'Assumptions &amp; Data'!$C$85*(M121-'Assumptions &amp; Data'!$C$71)/100000</f>
        <v>2.75262881616726</v>
      </c>
      <c r="BA121" s="40" t="n">
        <f aca="false">AX121+AZ121</f>
        <v>-2.26781823726624</v>
      </c>
      <c r="BB121" s="40" t="n">
        <f aca="false">BA121+(1-'Assumptions &amp; Data'!$C$67)*AV121</f>
        <v>-2.26781823726624</v>
      </c>
      <c r="BC121" s="48" t="str">
        <f aca="false">'Assumptions &amp; Data'!F157</f>
        <v>DS022</v>
      </c>
      <c r="BD121" s="39" t="n">
        <f aca="false">INDEX('Assumptions &amp; Data'!$K$142:$K$201,MATCH(BC121,'Assumptions &amp; Data'!$A$142:$A$201,0))*'Assumptions &amp; Data'!$C$77</f>
        <v>1134</v>
      </c>
      <c r="BE121" s="39" t="n">
        <f aca="false">MAX(0,BD121-INDEX($E$106:$E$165,MATCH(BC121,$A$106:$A$165,0)))</f>
        <v>454.173913043478</v>
      </c>
      <c r="BF121" s="39" t="n">
        <f aca="false">IF(T121&lt;='Assumptions &amp; Data'!$C$74,MIN('Assumptions &amp; Data'!$C$76*E121,BE121),0)</f>
        <v>454.173913043478</v>
      </c>
      <c r="BG121" s="40" t="n">
        <f aca="false">-O121+BF121*'Assumptions &amp; Data'!$C$63/'Assumptions &amp; Data'!$C$85*($B$12-'Assumptions &amp; Data'!$C$71)/100000</f>
        <v>13.4340195751292</v>
      </c>
      <c r="BH121" s="40" t="n">
        <f aca="false">(AS121*AP121*BY121*'Assumptions &amp; Data'!$C$82+K121*(BN121*100000/K121)*'Assumptions &amp; Data'!$C$80*(1-'Assumptions &amp; Data'!$C$81)+AP121*'Assumptions &amp; Data'!$C$83)/100000</f>
        <v>138.25104</v>
      </c>
      <c r="BI121" s="40" t="n">
        <f aca="false">'Assumptions &amp; Data'!L157*MAX(0,1-D121/'Assumptions &amp; Data'!$C$84)</f>
        <v>141.666666666667</v>
      </c>
      <c r="BJ121" s="40" t="n">
        <f aca="false">IF(BG121&gt;0,BH121/BG121,99)</f>
        <v>10.2911149732094</v>
      </c>
      <c r="BK121" s="2" t="str">
        <f aca="false">IF(AND(P121&gt;='Assumptions &amp; Data'!$C$65,R121&gt;=0,W121&gt;='Assumptions &amp; Data'!$C$66),"Scale",IF(OR(O121&gt;=0,AX121&gt;=0),"Optimise",IF(BA121&gt;=0,"Turn around",IF(BB121&gt;=0,"Relocate or resize",IF(AND(BF121&gt;0,BJ121&lt;='Assumptions &amp; Data'!$C$75,D121&gt;='Assumptions &amp; Data'!$C$64),"Close","Relocate or resize")))))</f>
        <v>Close</v>
      </c>
      <c r="BL121" s="42" t="str">
        <f aca="false">INDEX($BK$106:$BK$165,MATCH(BC121,$A$106:$A$165,0))</f>
        <v>Close</v>
      </c>
      <c r="BM121" s="42" t="str">
        <f aca="false">IF(RANK(P121,$P$106:$P$165)&lt;=ROUND(COUNT($P$106:$P$165)/4,0),"Q1 top",IF(RANK(P121,$P$106:$P$165)&gt;COUNT($P$106:$P$165)-ROUND(COUNT($P$106:$P$165)/4,0),"Q4 bottom","Q2-Q3 middle"))</f>
        <v>Q4 bottom</v>
      </c>
      <c r="BN121" s="40" t="n">
        <f aca="false">SUMIFS('Financial Analysis'!$R$71:$R$790,'Financial Analysis'!$B$71:$B$790,$A121,'Financial Analysis'!$C$71:$C$790,"&gt;="&amp;'Assumptions &amp; Data'!$C$62)/'Assumptions &amp; Data'!$C$85/100000</f>
        <v>3.9456</v>
      </c>
      <c r="BO121" s="40" t="n">
        <f aca="false">SUMIFS('Financial Analysis'!$H$71:$H$790,'Financial Analysis'!$B$71:$B$790,$A121,'Financial Analysis'!$C$71:$C$790,"&gt;="&amp;'Assumptions &amp; Data'!$C$62)/SUMIFS('Financial Analysis'!$E$71:$E$790,'Financial Analysis'!$B$71:$B$790,$A121,'Financial Analysis'!$C$71:$C$790,"&gt;="&amp;'Assumptions &amp; Data'!$C$62)</f>
        <v>632.835220402465</v>
      </c>
      <c r="BP121" s="40" t="n">
        <f aca="false">(SUMIFS('Financial Analysis'!$I$71:$I$790,'Financial Analysis'!$B$71:$B$790,$A121,'Financial Analysis'!$C$71:$C$790,"&gt;="&amp;'Assumptions &amp; Data'!$C$62)+SUMIFS('Financial Analysis'!$J$71:$J$790,'Financial Analysis'!$B$71:$B$790,$A121,'Financial Analysis'!$C$71:$C$790,"&gt;="&amp;'Assumptions &amp; Data'!$C$62)+SUMIFS('Financial Analysis'!$K$71:$K$790,'Financial Analysis'!$B$71:$B$790,$A121,'Financial Analysis'!$C$71:$C$790,"&gt;="&amp;'Assumptions &amp; Data'!$C$62))/SUMIFS('Financial Analysis'!$E$71:$E$790,'Financial Analysis'!$B$71:$B$790,$A121,'Financial Analysis'!$C$71:$C$790,"&gt;="&amp;'Assumptions &amp; Data'!$C$62)</f>
        <v>137.121683293301</v>
      </c>
      <c r="BQ121" s="40" t="n">
        <f aca="false">SUMIFS('Financial Analysis'!$L$71:$L$790,'Financial Analysis'!$B$71:$B$790,$A121,'Financial Analysis'!$C$71:$C$790,"&gt;="&amp;'Assumptions &amp; Data'!$C$62)/SUMIFS('Financial Analysis'!$E$71:$E$790,'Financial Analysis'!$B$71:$B$790,$A121,'Financial Analysis'!$C$71:$C$790,"&gt;="&amp;'Assumptions &amp; Data'!$C$62)</f>
        <v>11.5290677019676</v>
      </c>
      <c r="BR121" s="40" t="n">
        <f aca="false">SUMIFS('Financial Analysis'!$L$71:$L$790,'Financial Analysis'!$B$71:$B$790,$A121,'Financial Analysis'!$C$71:$C$790,"&gt;="&amp;'Assumptions &amp; Data'!$C$62)/SUMIFS('Financial Analysis'!$E$71:$E$790,'Financial Analysis'!$B$71:$B$790,$A121,'Financial Analysis'!$C$71:$C$790,"&gt;="&amp;'Assumptions &amp; Data'!$C$62)</f>
        <v>11.5290677019676</v>
      </c>
      <c r="BS121" s="40" t="n">
        <f aca="false">SUMIFS('Financial Analysis'!$N$71:$N$790,'Financial Analysis'!$B$71:$B$790,$A121,'Financial Analysis'!$C$71:$C$790,"&gt;="&amp;'Assumptions &amp; Data'!$C$62)/SUMIFS('Financial Analysis'!$E$71:$E$790,'Financial Analysis'!$B$71:$B$790,$A121,'Financial Analysis'!$C$71:$C$790,"&gt;="&amp;'Assumptions &amp; Data'!$C$62)</f>
        <v>43.4217552952376</v>
      </c>
      <c r="BT121" s="40" t="n">
        <f aca="false">(SUMIFS('Financial Analysis'!$O$71:$O$790,'Financial Analysis'!$B$71:$B$790,$A121,'Financial Analysis'!$C$71:$C$790,"&gt;="&amp;'Assumptions &amp; Data'!$C$62)+SUMIFS('Financial Analysis'!$P$71:$P$790,'Financial Analysis'!$B$71:$B$790,$A121,'Financial Analysis'!$C$71:$C$790,"&gt;="&amp;'Assumptions &amp; Data'!$C$62))/SUMIFS('Financial Analysis'!$E$71:$E$790,'Financial Analysis'!$B$71:$B$790,$A121,'Financial Analysis'!$C$71:$C$790,"&gt;="&amp;'Assumptions &amp; Data'!$C$62)</f>
        <v>16.9179142817514</v>
      </c>
      <c r="BU121" s="40" t="n">
        <f aca="false">SUMIFS('Financial Analysis'!$R$71:$R$790,'Financial Analysis'!$B$71:$B$790,$A121,'Financial Analysis'!$C$71:$C$790,"&gt;="&amp;'Assumptions &amp; Data'!$C$62)/SUMIFS('Financial Analysis'!$E$71:$E$790,'Financial Analysis'!$B$71:$B$790,$A121,'Financial Analysis'!$C$71:$C$790,"&gt;="&amp;'Assumptions &amp; Data'!$C$62)</f>
        <v>15.6501044503795</v>
      </c>
      <c r="BV121" s="40" t="n">
        <f aca="false">SUMIFS('Financial Analysis'!$S$71:$S$790,'Financial Analysis'!$B$71:$B$790,$A121,'Financial Analysis'!$C$71:$C$790,"&gt;="&amp;'Assumptions &amp; Data'!$C$62)/SUMIFS('Financial Analysis'!$E$71:$E$790,'Financial Analysis'!$B$71:$B$790,$A121,'Financial Analysis'!$C$71:$C$790,"&gt;="&amp;'Assumptions &amp; Data'!$C$62)</f>
        <v>56.7205225163286</v>
      </c>
      <c r="BW121" s="40" t="n">
        <f aca="false">(SUMIFS('Financial Analysis'!$T$71:$T$790,'Financial Analysis'!$B$71:$B$790,$A121,'Financial Analysis'!$C$71:$C$790,"&gt;="&amp;'Assumptions &amp; Data'!$C$62)+SUMIFS('Financial Analysis'!$U$71:$U$790,'Financial Analysis'!$B$71:$B$790,$A121,'Financial Analysis'!$C$71:$C$790,"&gt;="&amp;'Assumptions &amp; Data'!$C$62))/SUMIFS('Financial Analysis'!$E$71:$E$790,'Financial Analysis'!$B$71:$B$790,$A121,'Financial Analysis'!$C$71:$C$790,"&gt;="&amp;'Assumptions &amp; Data'!$C$62)</f>
        <v>15.9284845439882</v>
      </c>
      <c r="BX121" s="40" t="n">
        <f aca="false">SUMIFS('Financial Analysis'!$V$71:$V$790,'Financial Analysis'!$B$71:$B$790,$A121,'Financial Analysis'!$C$71:$C$790,"&gt;="&amp;'Assumptions &amp; Data'!$C$62)/SUMIFS('Financial Analysis'!$E$71:$E$790,'Financial Analysis'!$B$71:$B$790,$A121,'Financial Analysis'!$C$71:$C$790,"&gt;="&amp;'Assumptions &amp; Data'!$C$62)</f>
        <v>-23.0461654963517</v>
      </c>
      <c r="BY121" s="37" t="n">
        <f aca="false">'Assumptions &amp; Data'!J157</f>
        <v>18</v>
      </c>
      <c r="BZ121" s="39" t="n">
        <f aca="false">IF(BK121="Close",COUNTIF($BK$106:BK121,"Close"),"")</f>
        <v>2</v>
      </c>
    </row>
    <row r="122" customFormat="false" ht="15" hidden="false" customHeight="false" outlineLevel="0" collapsed="false">
      <c r="A122" s="48" t="str">
        <f aca="false">'Assumptions &amp; Data'!A158</f>
        <v>DS017</v>
      </c>
      <c r="B122" s="48" t="str">
        <f aca="false">'Assumptions &amp; Data'!B158</f>
        <v>Mumbai MMR</v>
      </c>
      <c r="C122" s="48" t="str">
        <f aca="false">'Assumptions &amp; Data'!C158</f>
        <v>Mixed use</v>
      </c>
      <c r="D122" s="37" t="n">
        <f aca="false">'Assumptions &amp; Data'!D158</f>
        <v>17</v>
      </c>
      <c r="E122" s="39" t="n">
        <f aca="false">SUMIFS('Financial Analysis'!$E$71:$E$790,'Financial Analysis'!$B$71:$B$790,$A122,'Financial Analysis'!$C$71:$C$790,"&gt;="&amp;'Assumptions &amp; Data'!$C$62)/'Assumptions &amp; Data'!$C$63</f>
        <v>1129.78260869565</v>
      </c>
      <c r="F122" s="40" t="n">
        <f aca="false">SUMIFS('Financial Analysis'!$H$71:$H$790,'Financial Analysis'!$B$71:$B$790,$A122,'Financial Analysis'!$C$71:$C$790,"&gt;="&amp;'Assumptions &amp; Data'!$C$62)/'Assumptions &amp; Data'!$C$85/100000</f>
        <v>230.838792961067</v>
      </c>
      <c r="G122" s="40" t="n">
        <f aca="false">SUMIFS('Financial Analysis'!$F$71:$F$790,'Financial Analysis'!$B$71:$B$790,$A122,'Financial Analysis'!$C$71:$C$790,"&gt;="&amp;'Assumptions &amp; Data'!$C$62)/SUMIFS('Financial Analysis'!$E$71:$E$790,'Financial Analysis'!$B$71:$B$790,$A122,'Financial Analysis'!$C$71:$C$790,"&gt;="&amp;'Assumptions &amp; Data'!$C$62)</f>
        <v>715.51031749086</v>
      </c>
      <c r="H122" s="49" t="n">
        <f aca="false">SUMIFS('Financial Analysis'!$G$71:$G$790,'Financial Analysis'!$B$71:$B$790,$A122,'Financial Analysis'!$C$71:$C$790,"&gt;="&amp;'Assumptions &amp; Data'!$C$62)/SUMIFS('Financial Analysis'!$F$71:$F$790,'Financial Analysis'!$B$71:$B$790,$A122,'Financial Analysis'!$C$71:$C$790,"&gt;="&amp;'Assumptions &amp; Data'!$C$62)</f>
        <v>0.0688247238273407</v>
      </c>
      <c r="I122" s="49" t="n">
        <f aca="false">SUMIFS('Financial Analysis'!$L$71:$L$790,'Financial Analysis'!$B$71:$B$790,$A122,'Financial Analysis'!$C$71:$C$790,"&gt;="&amp;'Assumptions &amp; Data'!$C$62)/SUMIFS('Financial Analysis'!$H$71:$H$790,'Financial Analysis'!$B$71:$B$790,$A122,'Financial Analysis'!$C$71:$C$790,"&gt;="&amp;'Assumptions &amp; Data'!$C$62)</f>
        <v>0.0203899960834119</v>
      </c>
      <c r="J122" s="40" t="n">
        <f aca="false">SUMIFS('Financial Analysis'!$N$71:$N$790,'Financial Analysis'!$B$71:$B$790,$A122,'Financial Analysis'!$C$71:$C$790,"&gt;="&amp;'Assumptions &amp; Data'!$C$62)/SUMIFS('Financial Analysis'!$E$71:$E$790,'Financial Analysis'!$B$71:$B$790,$A122,'Financial Analysis'!$C$71:$C$790,"&gt;="&amp;'Assumptions &amp; Data'!$C$62)</f>
        <v>43.7268239368867</v>
      </c>
      <c r="K122" s="40" t="n">
        <f aca="false">SUMIFS('Financial Analysis'!$R$71:$R$790,'Financial Analysis'!$B$71:$B$790,$A122,'Financial Analysis'!$C$71:$C$790,"&gt;="&amp;'Assumptions &amp; Data'!$C$62)/AVERAGEIFS('Assumptions &amp; Data'!$M$205:$M$924,'Assumptions &amp; Data'!$B$205:$B$924,$A122,'Assumptions &amp; Data'!$C$205:$C$924,"&gt;="&amp;'Assumptions &amp; Data'!$C$62)/'Assumptions &amp; Data'!$C$85</f>
        <v>31.669079523748</v>
      </c>
      <c r="L122" s="40" t="n">
        <f aca="false">E122/K122</f>
        <v>35.6746272921653</v>
      </c>
      <c r="M122" s="40" t="n">
        <f aca="false">SUMIFS('Financial Analysis'!$Q$71:$Q$790,'Financial Analysis'!$B$71:$B$790,$A122,'Financial Analysis'!$C$71:$C$790,"&gt;="&amp;'Assumptions &amp; Data'!$C$62)/SUMIFS('Financial Analysis'!$E$71:$E$790,'Financial Analysis'!$B$71:$B$790,$A122,'Financial Analysis'!$C$71:$C$790,"&gt;="&amp;'Assumptions &amp; Data'!$C$62)</f>
        <v>68.9563160645376</v>
      </c>
      <c r="N122" s="40" t="n">
        <f aca="false">SUMIFS('Financial Analysis'!$Y$71:$Y$790,'Financial Analysis'!$B$71:$B$790,$A122,'Financial Analysis'!$C$71:$C$790,"&gt;="&amp;'Assumptions &amp; Data'!$C$62)/'Assumptions &amp; Data'!$C$85/100000</f>
        <v>19.9687466666667</v>
      </c>
      <c r="O122" s="40" t="n">
        <f aca="false">SUMIFS('Financial Analysis'!$V$71:$V$790,'Financial Analysis'!$B$71:$B$790,$A122,'Financial Analysis'!$C$71:$C$790,"&gt;="&amp;'Assumptions &amp; Data'!$C$62)/'Assumptions &amp; Data'!$C$85/100000</f>
        <v>3.92231830582677</v>
      </c>
      <c r="P122" s="49" t="n">
        <f aca="false">O122/F122</f>
        <v>0.0169915907786275</v>
      </c>
      <c r="Q122" s="39" t="n">
        <f aca="false">IF(M122&gt;0,N122*100000/(M122*'Assumptions &amp; Data'!$C$63/'Assumptions &amp; Data'!$C$85),9999)</f>
        <v>944.30042057245</v>
      </c>
      <c r="R122" s="49" t="n">
        <f aca="false">E122/Q122-1</f>
        <v>0.196422858745271</v>
      </c>
      <c r="S122" s="50" t="n">
        <f aca="false">'Assumptions &amp; Data'!E158</f>
        <v>41.7</v>
      </c>
      <c r="T122" s="50" t="n">
        <f aca="false">'Assumptions &amp; Data'!G158</f>
        <v>2.4</v>
      </c>
      <c r="U122" s="49" t="n">
        <f aca="false">MAX(0,('Assumptions &amp; Data'!$C$72-T122)/'Assumptions &amp; Data'!$C$72)*'Assumptions &amp; Data'!$C$73</f>
        <v>0</v>
      </c>
      <c r="V122" s="39" t="n">
        <f aca="false">S122*$B$6*(1-U122)</f>
        <v>1485.41762232379</v>
      </c>
      <c r="W122" s="49" t="n">
        <f aca="false">V122/E122-1</f>
        <v>0.31478180925331</v>
      </c>
      <c r="X122" s="39" t="n">
        <f aca="false">IF(D122&gt;='Assumptions &amp; Data'!$C$64,1,0)</f>
        <v>1</v>
      </c>
      <c r="Y122" s="40" t="n">
        <f aca="false">IF(AND(X122=1,T122&gt;='Assumptions &amp; Data'!$C$72),E122/S122,"")</f>
        <v>27.0931081221979</v>
      </c>
      <c r="Z122" s="49" t="n">
        <f aca="false">IF(X122=1,H122,"")</f>
        <v>0.0688247238273407</v>
      </c>
      <c r="AA122" s="49" t="n">
        <f aca="false">IF(X122=1,I122,"")</f>
        <v>0.0203899960834119</v>
      </c>
      <c r="AB122" s="40" t="n">
        <f aca="false">IF(X122=1,J122,"")</f>
        <v>43.7268239368867</v>
      </c>
      <c r="AC122" s="40" t="n">
        <f aca="false">IF(X122=1,L122,"")</f>
        <v>35.6746272921653</v>
      </c>
      <c r="AD122" s="40" t="n">
        <f aca="false">IF(X122=1,AP122/E122*100,"")</f>
        <v>398.306715412738</v>
      </c>
      <c r="AE122" s="40" t="n">
        <f aca="false">IF(X122=1,M122,"")</f>
        <v>68.9563160645376</v>
      </c>
      <c r="AF122" s="40" t="n">
        <f aca="false">E122*'Assumptions &amp; Data'!$C$63/'Assumptions &amp; Data'!$C$85*G122/100000</f>
        <v>247.900474666667</v>
      </c>
      <c r="AG122" s="49" t="n">
        <f aca="false">MAX(0,H122-$B$7)</f>
        <v>0.0140196238240839</v>
      </c>
      <c r="AH122" s="40" t="n">
        <f aca="false">AG122*AF122</f>
        <v>3.4754714006385</v>
      </c>
      <c r="AI122" s="40" t="n">
        <f aca="false">AG122*100*E122*'Assumptions &amp; Data'!$C$63/'Assumptions &amp; Data'!$C$85*M122/100000</f>
        <v>33.4943743671105</v>
      </c>
      <c r="AJ122" s="49" t="n">
        <f aca="false">MAX(0,I122-$B$8)</f>
        <v>0</v>
      </c>
      <c r="AK122" s="40" t="n">
        <f aca="false">AJ122*F122</f>
        <v>0</v>
      </c>
      <c r="AL122" s="40" t="n">
        <f aca="false">MAX(0,K122-E122/$B$10)</f>
        <v>2.06886502438002</v>
      </c>
      <c r="AM122" s="40" t="n">
        <f aca="false">AL122*BN122/K122</f>
        <v>0.48016288350836</v>
      </c>
      <c r="AN122" s="40" t="n">
        <f aca="false">MAX(0,J122-$B$9)</f>
        <v>5.52066734042591</v>
      </c>
      <c r="AO122" s="40" t="n">
        <f aca="false">AN122*E122*'Assumptions &amp; Data'!$C$63/'Assumptions &amp; Data'!$C$85/100000</f>
        <v>1.9127272112129</v>
      </c>
      <c r="AP122" s="37" t="n">
        <f aca="false">'Assumptions &amp; Data'!H158</f>
        <v>4500</v>
      </c>
      <c r="AQ122" s="39" t="n">
        <f aca="false">MIN(AP122,$B$11*E122/100)</f>
        <v>4341.04104130478</v>
      </c>
      <c r="AR122" s="39" t="n">
        <f aca="false">IF(AP122-AQ122&gt;'Assumptions &amp; Data'!$C$78*AP122,AP122-AQ122,0)</f>
        <v>0</v>
      </c>
      <c r="AS122" s="50" t="n">
        <f aca="false">'Assumptions &amp; Data'!I158</f>
        <v>187</v>
      </c>
      <c r="AT122" s="40" t="n">
        <f aca="false">INDEX('Assumptions &amp; Data'!$B$89:$E$94,MATCH(B122,'Assumptions &amp; Data'!$A$89:$A$94,0),MATCH(C122,'Assumptions &amp; Data'!$B$88:$E$88,0))</f>
        <v>213</v>
      </c>
      <c r="AU122" s="39" t="n">
        <f aca="false">IF(BY122&lt;='Assumptions &amp; Data'!$C$79,1,0)</f>
        <v>0</v>
      </c>
      <c r="AV122" s="40" t="n">
        <f aca="false">AU122*(AR122*AS122+MAX(0,AS122-AT122)*(AP122-AR122))/100000</f>
        <v>0</v>
      </c>
      <c r="AW122" s="40" t="n">
        <f aca="false">'Assumptions &amp; Data'!$C$67*(AH122-'Assumptions &amp; Data'!$C$68*AI122+AK122+AM122+AO122+AV122)</f>
        <v>3.32005065101319</v>
      </c>
      <c r="AX122" s="40" t="n">
        <f aca="false">O122+AW122</f>
        <v>7.24236895683997</v>
      </c>
      <c r="AY122" s="49" t="n">
        <f aca="false">IF(D122&lt;'Assumptions &amp; Data'!$C$64,'Assumptions &amp; Data'!$C$70,'Assumptions &amp; Data'!$C$69)</f>
        <v>0.5</v>
      </c>
      <c r="AZ122" s="40" t="n">
        <f aca="false">AY122*MAX(0,V122-E122)*'Assumptions &amp; Data'!$C$63/'Assumptions &amp; Data'!$C$85*(M122-'Assumptions &amp; Data'!$C$71)/100000</f>
        <v>3.21492930761845</v>
      </c>
      <c r="BA122" s="40" t="n">
        <f aca="false">AX122+AZ122</f>
        <v>10.4572982644584</v>
      </c>
      <c r="BB122" s="40" t="n">
        <f aca="false">BA122+(1-'Assumptions &amp; Data'!$C$67)*AV122</f>
        <v>10.4572982644584</v>
      </c>
      <c r="BC122" s="48" t="str">
        <f aca="false">'Assumptions &amp; Data'!F158</f>
        <v>DS019</v>
      </c>
      <c r="BD122" s="39" t="n">
        <f aca="false">INDEX('Assumptions &amp; Data'!$K$142:$K$201,MATCH(BC122,'Assumptions &amp; Data'!$A$142:$A$201,0))*'Assumptions &amp; Data'!$C$77</f>
        <v>1782</v>
      </c>
      <c r="BE122" s="39" t="n">
        <f aca="false">MAX(0,BD122-INDEX($E$106:$E$165,MATCH(BC122,$A$106:$A$165,0)))</f>
        <v>935.228260869565</v>
      </c>
      <c r="BF122" s="39" t="n">
        <f aca="false">IF(T122&lt;='Assumptions &amp; Data'!$C$74,MIN('Assumptions &amp; Data'!$C$76*E122,BE122),0)</f>
        <v>0</v>
      </c>
      <c r="BG122" s="40" t="n">
        <f aca="false">-O122+BF122*'Assumptions &amp; Data'!$C$63/'Assumptions &amp; Data'!$C$85*($B$12-'Assumptions &amp; Data'!$C$71)/100000</f>
        <v>-3.92231830582677</v>
      </c>
      <c r="BH122" s="40" t="n">
        <f aca="false">(AS122*AP122*BY122*'Assumptions &amp; Data'!$C$82+K122*(BN122*100000/K122)*'Assumptions &amp; Data'!$C$80*(1-'Assumptions &amp; Data'!$C$81)+AP122*'Assumptions &amp; Data'!$C$83)/100000</f>
        <v>112.995069</v>
      </c>
      <c r="BI122" s="40" t="n">
        <f aca="false">'Assumptions &amp; Data'!L158*MAX(0,1-D122/'Assumptions &amp; Data'!$C$84)</f>
        <v>122.035714285714</v>
      </c>
      <c r="BJ122" s="40" t="n">
        <f aca="false">IF(BG122&gt;0,BH122/BG122,99)</f>
        <v>99</v>
      </c>
      <c r="BK122" s="2" t="str">
        <f aca="false">IF(AND(P122&gt;='Assumptions &amp; Data'!$C$65,R122&gt;=0,W122&gt;='Assumptions &amp; Data'!$C$66),"Scale",IF(OR(O122&gt;=0,AX122&gt;=0),"Optimise",IF(BA122&gt;=0,"Turn around",IF(BB122&gt;=0,"Relocate or resize",IF(AND(BF122&gt;0,BJ122&lt;='Assumptions &amp; Data'!$C$75,D122&gt;='Assumptions &amp; Data'!$C$64),"Close","Relocate or resize")))))</f>
        <v>Optimise</v>
      </c>
      <c r="BL122" s="42" t="str">
        <f aca="false">INDEX($BK$106:$BK$165,MATCH(BC122,$A$106:$A$165,0))</f>
        <v>Optimise</v>
      </c>
      <c r="BM122" s="42" t="str">
        <f aca="false">IF(RANK(P122,$P$106:$P$165)&lt;=ROUND(COUNT($P$106:$P$165)/4,0),"Q1 top",IF(RANK(P122,$P$106:$P$165)&gt;COUNT($P$106:$P$165)-ROUND(COUNT($P$106:$P$165)/4,0),"Q4 bottom","Q2-Q3 middle"))</f>
        <v>Q2-Q3 middle</v>
      </c>
      <c r="BN122" s="40" t="n">
        <f aca="false">SUMIFS('Financial Analysis'!$R$71:$R$790,'Financial Analysis'!$B$71:$B$790,$A122,'Financial Analysis'!$C$71:$C$790,"&gt;="&amp;'Assumptions &amp; Data'!$C$62)/'Assumptions &amp; Data'!$C$85/100000</f>
        <v>7.35007666666667</v>
      </c>
      <c r="BO122" s="40" t="n">
        <f aca="false">SUMIFS('Financial Analysis'!$H$71:$H$790,'Financial Analysis'!$B$71:$B$790,$A122,'Financial Analysis'!$C$71:$C$790,"&gt;="&amp;'Assumptions &amp; Data'!$C$62)/SUMIFS('Financial Analysis'!$E$71:$E$790,'Financial Analysis'!$B$71:$B$790,$A122,'Financial Analysis'!$C$71:$C$790,"&gt;="&amp;'Assumptions &amp; Data'!$C$62)</f>
        <v>666.265517493939</v>
      </c>
      <c r="BP122" s="40" t="n">
        <f aca="false">(SUMIFS('Financial Analysis'!$I$71:$I$790,'Financial Analysis'!$B$71:$B$790,$A122,'Financial Analysis'!$C$71:$C$790,"&gt;="&amp;'Assumptions &amp; Data'!$C$62)+SUMIFS('Financial Analysis'!$J$71:$J$790,'Financial Analysis'!$B$71:$B$790,$A122,'Financial Analysis'!$C$71:$C$790,"&gt;="&amp;'Assumptions &amp; Data'!$C$62)+SUMIFS('Financial Analysis'!$K$71:$K$790,'Financial Analysis'!$B$71:$B$790,$A122,'Financial Analysis'!$C$71:$C$790,"&gt;="&amp;'Assumptions &amp; Data'!$C$62))/SUMIFS('Financial Analysis'!$E$71:$E$790,'Financial Analysis'!$B$71:$B$790,$A122,'Financial Analysis'!$C$71:$C$790,"&gt;="&amp;'Assumptions &amp; Data'!$C$62)</f>
        <v>143.74293108022</v>
      </c>
      <c r="BQ122" s="40" t="n">
        <f aca="false">SUMIFS('Financial Analysis'!$L$71:$L$790,'Financial Analysis'!$B$71:$B$790,$A122,'Financial Analysis'!$C$71:$C$790,"&gt;="&amp;'Assumptions &amp; Data'!$C$62)/SUMIFS('Financial Analysis'!$E$71:$E$790,'Financial Analysis'!$B$71:$B$790,$A122,'Financial Analysis'!$C$71:$C$790,"&gt;="&amp;'Assumptions &amp; Data'!$C$62)</f>
        <v>13.5851512922138</v>
      </c>
      <c r="BR122" s="40" t="n">
        <f aca="false">SUMIFS('Financial Analysis'!$L$71:$L$790,'Financial Analysis'!$B$71:$B$790,$A122,'Financial Analysis'!$C$71:$C$790,"&gt;="&amp;'Assumptions &amp; Data'!$C$62)/SUMIFS('Financial Analysis'!$E$71:$E$790,'Financial Analysis'!$B$71:$B$790,$A122,'Financial Analysis'!$C$71:$C$790,"&gt;="&amp;'Assumptions &amp; Data'!$C$62)</f>
        <v>13.5851512922138</v>
      </c>
      <c r="BS122" s="40" t="n">
        <f aca="false">SUMIFS('Financial Analysis'!$N$71:$N$790,'Financial Analysis'!$B$71:$B$790,$A122,'Financial Analysis'!$C$71:$C$790,"&gt;="&amp;'Assumptions &amp; Data'!$C$62)/SUMIFS('Financial Analysis'!$E$71:$E$790,'Financial Analysis'!$B$71:$B$790,$A122,'Financial Analysis'!$C$71:$C$790,"&gt;="&amp;'Assumptions &amp; Data'!$C$62)</f>
        <v>43.7268239368867</v>
      </c>
      <c r="BT122" s="40" t="n">
        <f aca="false">(SUMIFS('Financial Analysis'!$O$71:$O$790,'Financial Analysis'!$B$71:$B$790,$A122,'Financial Analysis'!$C$71:$C$790,"&gt;="&amp;'Assumptions &amp; Data'!$C$62)+SUMIFS('Financial Analysis'!$P$71:$P$790,'Financial Analysis'!$B$71:$B$790,$A122,'Financial Analysis'!$C$71:$C$790,"&gt;="&amp;'Assumptions &amp; Data'!$C$62))/SUMIFS('Financial Analysis'!$E$71:$E$790,'Financial Analysis'!$B$71:$B$790,$A122,'Financial Analysis'!$C$71:$C$790,"&gt;="&amp;'Assumptions &amp; Data'!$C$62)</f>
        <v>17.4746397865815</v>
      </c>
      <c r="BU122" s="40" t="n">
        <f aca="false">SUMIFS('Financial Analysis'!$R$71:$R$790,'Financial Analysis'!$B$71:$B$790,$A122,'Financial Analysis'!$C$71:$C$790,"&gt;="&amp;'Assumptions &amp; Data'!$C$62)/SUMIFS('Financial Analysis'!$E$71:$E$790,'Financial Analysis'!$B$71:$B$790,$A122,'Financial Analysis'!$C$71:$C$790,"&gt;="&amp;'Assumptions &amp; Data'!$C$62)</f>
        <v>21.2143832980566</v>
      </c>
      <c r="BV122" s="40" t="n">
        <f aca="false">SUMIFS('Financial Analysis'!$S$71:$S$790,'Financial Analysis'!$B$71:$B$790,$A122,'Financial Analysis'!$C$71:$C$790,"&gt;="&amp;'Assumptions &amp; Data'!$C$62)/SUMIFS('Financial Analysis'!$E$71:$E$790,'Financial Analysis'!$B$71:$B$790,$A122,'Financial Analysis'!$C$71:$C$790,"&gt;="&amp;'Assumptions &amp; Data'!$C$62)</f>
        <v>24.2880507985376</v>
      </c>
      <c r="BW122" s="40" t="n">
        <f aca="false">(SUMIFS('Financial Analysis'!$T$71:$T$790,'Financial Analysis'!$B$71:$B$790,$A122,'Financial Analysis'!$C$71:$C$790,"&gt;="&amp;'Assumptions &amp; Data'!$C$62)+SUMIFS('Financial Analysis'!$U$71:$U$790,'Financial Analysis'!$B$71:$B$790,$A122,'Financial Analysis'!$C$71:$C$790,"&gt;="&amp;'Assumptions &amp; Data'!$C$62))/SUMIFS('Financial Analysis'!$E$71:$E$790,'Financial Analysis'!$B$71:$B$790,$A122,'Financial Analysis'!$C$71:$C$790,"&gt;="&amp;'Assumptions &amp; Data'!$C$62)</f>
        <v>12.1329709447758</v>
      </c>
      <c r="BX122" s="40" t="n">
        <f aca="false">SUMIFS('Financial Analysis'!$V$71:$V$790,'Financial Analysis'!$B$71:$B$790,$A122,'Financial Analysis'!$C$71:$C$790,"&gt;="&amp;'Assumptions &amp; Data'!$C$62)/SUMIFS('Financial Analysis'!$E$71:$E$790,'Financial Analysis'!$B$71:$B$790,$A122,'Financial Analysis'!$C$71:$C$790,"&gt;="&amp;'Assumptions &amp; Data'!$C$62)</f>
        <v>11.3209110231675</v>
      </c>
      <c r="BY122" s="37" t="n">
        <f aca="false">'Assumptions &amp; Data'!J158</f>
        <v>24</v>
      </c>
      <c r="BZ122" s="39" t="str">
        <f aca="false">IF(BK122="Close",COUNTIF($BK$106:BK122,"Close"),"")</f>
        <v/>
      </c>
    </row>
    <row r="123" customFormat="false" ht="15" hidden="false" customHeight="false" outlineLevel="0" collapsed="false">
      <c r="A123" s="48" t="str">
        <f aca="false">'Assumptions &amp; Data'!A159</f>
        <v>DS018</v>
      </c>
      <c r="B123" s="48" t="str">
        <f aca="false">'Assumptions &amp; Data'!B159</f>
        <v>Mumbai MMR</v>
      </c>
      <c r="C123" s="48" t="str">
        <f aca="false">'Assumptions &amp; Data'!C159</f>
        <v>Mixed use</v>
      </c>
      <c r="D123" s="37" t="n">
        <f aca="false">'Assumptions &amp; Data'!D159</f>
        <v>48</v>
      </c>
      <c r="E123" s="39" t="n">
        <f aca="false">SUMIFS('Financial Analysis'!$E$71:$E$790,'Financial Analysis'!$B$71:$B$790,$A123,'Financial Analysis'!$C$71:$C$790,"&gt;="&amp;'Assumptions &amp; Data'!$C$62)/'Assumptions &amp; Data'!$C$63</f>
        <v>867.391304347826</v>
      </c>
      <c r="F123" s="40" t="n">
        <f aca="false">SUMIFS('Financial Analysis'!$H$71:$H$790,'Financial Analysis'!$B$71:$B$790,$A123,'Financial Analysis'!$C$71:$C$790,"&gt;="&amp;'Assumptions &amp; Data'!$C$62)/'Assumptions &amp; Data'!$C$85/100000</f>
        <v>177.492814659167</v>
      </c>
      <c r="G123" s="40" t="n">
        <f aca="false">SUMIFS('Financial Analysis'!$F$71:$F$790,'Financial Analysis'!$B$71:$B$790,$A123,'Financial Analysis'!$C$71:$C$790,"&gt;="&amp;'Assumptions &amp; Data'!$C$62)/SUMIFS('Financial Analysis'!$E$71:$E$790,'Financial Analysis'!$B$71:$B$790,$A123,'Financial Analysis'!$C$71:$C$790,"&gt;="&amp;'Assumptions &amp; Data'!$C$62)</f>
        <v>703.264944862155</v>
      </c>
      <c r="H123" s="49" t="n">
        <f aca="false">SUMIFS('Financial Analysis'!$G$71:$G$790,'Financial Analysis'!$B$71:$B$790,$A123,'Financial Analysis'!$C$71:$C$790,"&gt;="&amp;'Assumptions &amp; Data'!$C$62)/SUMIFS('Financial Analysis'!$F$71:$F$790,'Financial Analysis'!$B$71:$B$790,$A123,'Financial Analysis'!$C$71:$C$790,"&gt;="&amp;'Assumptions &amp; Data'!$C$62)</f>
        <v>0.0511879976415267</v>
      </c>
      <c r="I123" s="49" t="n">
        <f aca="false">SUMIFS('Financial Analysis'!$L$71:$L$790,'Financial Analysis'!$B$71:$B$790,$A123,'Financial Analysis'!$C$71:$C$790,"&gt;="&amp;'Assumptions &amp; Data'!$C$62)/SUMIFS('Financial Analysis'!$H$71:$H$790,'Financial Analysis'!$B$71:$B$790,$A123,'Financial Analysis'!$C$71:$C$790,"&gt;="&amp;'Assumptions &amp; Data'!$C$62)</f>
        <v>0.0223549956894761</v>
      </c>
      <c r="J123" s="40" t="n">
        <f aca="false">SUMIFS('Financial Analysis'!$N$71:$N$790,'Financial Analysis'!$B$71:$B$790,$A123,'Financial Analysis'!$C$71:$C$790,"&gt;="&amp;'Assumptions &amp; Data'!$C$62)/SUMIFS('Financial Analysis'!$E$71:$E$790,'Financial Analysis'!$B$71:$B$790,$A123,'Financial Analysis'!$C$71:$C$790,"&gt;="&amp;'Assumptions &amp; Data'!$C$62)</f>
        <v>38.5684656641604</v>
      </c>
      <c r="K123" s="40" t="n">
        <f aca="false">SUMIFS('Financial Analysis'!$R$71:$R$790,'Financial Analysis'!$B$71:$B$790,$A123,'Financial Analysis'!$C$71:$C$790,"&gt;="&amp;'Assumptions &amp; Data'!$C$62)/AVERAGEIFS('Assumptions &amp; Data'!$M$205:$M$924,'Assumptions &amp; Data'!$B$205:$B$924,$A123,'Assumptions &amp; Data'!$C$205:$C$924,"&gt;="&amp;'Assumptions &amp; Data'!$C$62)/'Assumptions &amp; Data'!$C$85</f>
        <v>21.0003016071352</v>
      </c>
      <c r="L123" s="40" t="n">
        <f aca="false">E123/K123</f>
        <v>41.3037546114632</v>
      </c>
      <c r="M123" s="40" t="n">
        <f aca="false">SUMIFS('Financial Analysis'!$Q$71:$Q$790,'Financial Analysis'!$B$71:$B$790,$A123,'Financial Analysis'!$C$71:$C$790,"&gt;="&amp;'Assumptions &amp; Data'!$C$62)/SUMIFS('Financial Analysis'!$E$71:$E$790,'Financial Analysis'!$B$71:$B$790,$A123,'Financial Analysis'!$C$71:$C$790,"&gt;="&amp;'Assumptions &amp; Data'!$C$62)</f>
        <v>69.5896409436936</v>
      </c>
      <c r="N123" s="40" t="n">
        <f aca="false">SUMIFS('Financial Analysis'!$Y$71:$Y$790,'Financial Analysis'!$B$71:$B$790,$A123,'Financial Analysis'!$C$71:$C$790,"&gt;="&amp;'Assumptions &amp; Data'!$C$62)/'Assumptions &amp; Data'!$C$85/100000</f>
        <v>14.15281</v>
      </c>
      <c r="O123" s="40" t="n">
        <f aca="false">SUMIFS('Financial Analysis'!$V$71:$V$790,'Financial Analysis'!$B$71:$B$790,$A123,'Financial Analysis'!$C$71:$C$790,"&gt;="&amp;'Assumptions &amp; Data'!$C$62)/'Assumptions &amp; Data'!$C$85/100000</f>
        <v>4.35803449102249</v>
      </c>
      <c r="P123" s="49" t="n">
        <f aca="false">O123/F123</f>
        <v>0.0245533009287789</v>
      </c>
      <c r="Q123" s="39" t="n">
        <f aca="false">IF(M123&gt;0,N123*100000/(M123*'Assumptions &amp; Data'!$C$63/'Assumptions &amp; Data'!$C$85),9999)</f>
        <v>663.180133788097</v>
      </c>
      <c r="R123" s="49" t="n">
        <f aca="false">E123/Q123-1</f>
        <v>0.307927153054587</v>
      </c>
      <c r="S123" s="50" t="n">
        <f aca="false">'Assumptions &amp; Data'!E159</f>
        <v>27</v>
      </c>
      <c r="T123" s="50" t="n">
        <f aca="false">'Assumptions &amp; Data'!G159</f>
        <v>1.6</v>
      </c>
      <c r="U123" s="49" t="n">
        <f aca="false">MAX(0,('Assumptions &amp; Data'!$C$72-T123)/'Assumptions &amp; Data'!$C$72)*'Assumptions &amp; Data'!$C$73</f>
        <v>0</v>
      </c>
      <c r="V123" s="39" t="n">
        <f aca="false">S123*$B$6*(1-U123)</f>
        <v>961.78119431037</v>
      </c>
      <c r="W123" s="49" t="n">
        <f aca="false">V123/E123-1</f>
        <v>0.108820424518221</v>
      </c>
      <c r="X123" s="39" t="n">
        <f aca="false">IF(D123&gt;='Assumptions &amp; Data'!$C$64,1,0)</f>
        <v>1</v>
      </c>
      <c r="Y123" s="40" t="n">
        <f aca="false">IF(AND(X123=1,T123&gt;='Assumptions &amp; Data'!$C$72),E123/S123,"")</f>
        <v>32.1256038647343</v>
      </c>
      <c r="Z123" s="49" t="n">
        <f aca="false">IF(X123=1,H123,"")</f>
        <v>0.0511879976415267</v>
      </c>
      <c r="AA123" s="49" t="n">
        <f aca="false">IF(X123=1,I123,"")</f>
        <v>0.0223549956894761</v>
      </c>
      <c r="AB123" s="40" t="n">
        <f aca="false">IF(X123=1,J123,"")</f>
        <v>38.5684656641604</v>
      </c>
      <c r="AC123" s="40" t="n">
        <f aca="false">IF(X123=1,L123,"")</f>
        <v>41.3037546114632</v>
      </c>
      <c r="AD123" s="40" t="n">
        <f aca="false">IF(X123=1,AP123/E123*100,"")</f>
        <v>345.864661654135</v>
      </c>
      <c r="AE123" s="40" t="n">
        <f aca="false">IF(X123=1,M123,"")</f>
        <v>69.5896409436936</v>
      </c>
      <c r="AF123" s="40" t="n">
        <f aca="false">E123*'Assumptions &amp; Data'!$C$63/'Assumptions &amp; Data'!$C$85*G123/100000</f>
        <v>187.068475333333</v>
      </c>
      <c r="AG123" s="49" t="n">
        <f aca="false">MAX(0,H123-$B$7)</f>
        <v>0</v>
      </c>
      <c r="AH123" s="40" t="n">
        <f aca="false">AG123*AF123</f>
        <v>0</v>
      </c>
      <c r="AI123" s="40" t="n">
        <f aca="false">AG123*100*E123*'Assumptions &amp; Data'!$C$63/'Assumptions &amp; Data'!$C$85*M123/100000</f>
        <v>0</v>
      </c>
      <c r="AJ123" s="49" t="n">
        <f aca="false">MAX(0,I123-$B$8)</f>
        <v>0.000950401979188956</v>
      </c>
      <c r="AK123" s="40" t="n">
        <f aca="false">AJ123*F123</f>
        <v>0.16868952234389</v>
      </c>
      <c r="AL123" s="40" t="n">
        <f aca="false">MAX(0,K123-E123/$B$10)</f>
        <v>0</v>
      </c>
      <c r="AM123" s="40" t="n">
        <f aca="false">AL123*BN123/K123</f>
        <v>0</v>
      </c>
      <c r="AN123" s="40" t="n">
        <f aca="false">MAX(0,J123-$B$9)</f>
        <v>0.362309067699641</v>
      </c>
      <c r="AO123" s="40" t="n">
        <f aca="false">AN123*E123*'Assumptions &amp; Data'!$C$63/'Assumptions &amp; Data'!$C$85/100000</f>
        <v>0.0963742120081046</v>
      </c>
      <c r="AP123" s="37" t="n">
        <f aca="false">'Assumptions &amp; Data'!H159</f>
        <v>3000</v>
      </c>
      <c r="AQ123" s="39" t="n">
        <f aca="false">MIN(AP123,$B$11*E123/100)</f>
        <v>3000</v>
      </c>
      <c r="AR123" s="39" t="n">
        <f aca="false">IF(AP123-AQ123&gt;'Assumptions &amp; Data'!$C$78*AP123,AP123-AQ123,0)</f>
        <v>0</v>
      </c>
      <c r="AS123" s="50" t="n">
        <f aca="false">'Assumptions &amp; Data'!I159</f>
        <v>220</v>
      </c>
      <c r="AT123" s="40" t="n">
        <f aca="false">INDEX('Assumptions &amp; Data'!$B$89:$E$94,MATCH(B123,'Assumptions &amp; Data'!$A$89:$A$94,0),MATCH(C123,'Assumptions &amp; Data'!$B$88:$E$88,0))</f>
        <v>213</v>
      </c>
      <c r="AU123" s="39" t="n">
        <f aca="false">IF(BY123&lt;='Assumptions &amp; Data'!$C$79,1,0)</f>
        <v>1</v>
      </c>
      <c r="AV123" s="40" t="n">
        <f aca="false">AU123*(AR123*AS123+MAX(0,AS123-AT123)*(AP123-AR123))/100000</f>
        <v>0.21</v>
      </c>
      <c r="AW123" s="40" t="n">
        <f aca="false">'Assumptions &amp; Data'!$C$67*(AH123-'Assumptions &amp; Data'!$C$68*AI123+AK123+AM123+AO123+AV123)</f>
        <v>0.285038240611197</v>
      </c>
      <c r="AX123" s="40" t="n">
        <f aca="false">O123+AW123</f>
        <v>4.64307273163369</v>
      </c>
      <c r="AY123" s="49" t="n">
        <f aca="false">IF(D123&lt;'Assumptions &amp; Data'!$C$64,'Assumptions &amp; Data'!$C$70,'Assumptions &amp; Data'!$C$69)</f>
        <v>0.5</v>
      </c>
      <c r="AZ123" s="40" t="n">
        <f aca="false">AY123*MAX(0,V123-E123)*'Assumptions &amp; Data'!$C$63/'Assumptions &amp; Data'!$C$85*(M123-'Assumptions &amp; Data'!$C$71)/100000</f>
        <v>0.862447813242687</v>
      </c>
      <c r="BA123" s="40" t="n">
        <f aca="false">AX123+AZ123</f>
        <v>5.50552054487638</v>
      </c>
      <c r="BB123" s="40" t="n">
        <f aca="false">BA123+(1-'Assumptions &amp; Data'!$C$67)*AV123</f>
        <v>5.58952054487638</v>
      </c>
      <c r="BC123" s="48" t="str">
        <f aca="false">'Assumptions &amp; Data'!F159</f>
        <v>DS020</v>
      </c>
      <c r="BD123" s="39" t="n">
        <f aca="false">INDEX('Assumptions &amp; Data'!$K$142:$K$201,MATCH(BC123,'Assumptions &amp; Data'!$A$142:$A$201,0))*'Assumptions &amp; Data'!$C$77</f>
        <v>1620</v>
      </c>
      <c r="BE123" s="39" t="n">
        <f aca="false">MAX(0,BD123-INDEX($E$106:$E$165,MATCH(BC123,$A$106:$A$165,0)))</f>
        <v>970.836956521739</v>
      </c>
      <c r="BF123" s="39" t="n">
        <f aca="false">IF(T123&lt;='Assumptions &amp; Data'!$C$74,MIN('Assumptions &amp; Data'!$C$76*E123,BE123),0)</f>
        <v>520.434782608696</v>
      </c>
      <c r="BG123" s="40" t="n">
        <f aca="false">-O123+BF123*'Assumptions &amp; Data'!$C$63/'Assumptions &amp; Data'!$C$85*($B$12-'Assumptions &amp; Data'!$C$71)/100000</f>
        <v>4.3779959930259</v>
      </c>
      <c r="BH123" s="40" t="n">
        <f aca="false">(AS123*AP123*BY123*'Assumptions &amp; Data'!$C$82+K123*(BN123*100000/K123)*'Assumptions &amp; Data'!$C$80*(1-'Assumptions &amp; Data'!$C$81)+AP123*'Assumptions &amp; Data'!$C$83)/100000</f>
        <v>47.586564</v>
      </c>
      <c r="BI123" s="40" t="n">
        <f aca="false">'Assumptions &amp; Data'!L159*MAX(0,1-D123/'Assumptions &amp; Data'!$C$84)</f>
        <v>43.7142857142857</v>
      </c>
      <c r="BJ123" s="40" t="n">
        <f aca="false">IF(BG123&gt;0,BH123/BG123,99)</f>
        <v>10.8694855079367</v>
      </c>
      <c r="BK123" s="2" t="str">
        <f aca="false">IF(AND(P123&gt;='Assumptions &amp; Data'!$C$65,R123&gt;=0,W123&gt;='Assumptions &amp; Data'!$C$66),"Scale",IF(OR(O123&gt;=0,AX123&gt;=0),"Optimise",IF(BA123&gt;=0,"Turn around",IF(BB123&gt;=0,"Relocate or resize",IF(AND(BF123&gt;0,BJ123&lt;='Assumptions &amp; Data'!$C$75,D123&gt;='Assumptions &amp; Data'!$C$64),"Close","Relocate or resize")))))</f>
        <v>Optimise</v>
      </c>
      <c r="BL123" s="42" t="str">
        <f aca="false">INDEX($BK$106:$BK$165,MATCH(BC123,$A$106:$A$165,0))</f>
        <v>Optimise</v>
      </c>
      <c r="BM123" s="42" t="str">
        <f aca="false">IF(RANK(P123,$P$106:$P$165)&lt;=ROUND(COUNT($P$106:$P$165)/4,0),"Q1 top",IF(RANK(P123,$P$106:$P$165)&gt;COUNT($P$106:$P$165)-ROUND(COUNT($P$106:$P$165)/4,0),"Q4 bottom","Q2-Q3 middle"))</f>
        <v>Q2-Q3 middle</v>
      </c>
      <c r="BN123" s="40" t="n">
        <f aca="false">SUMIFS('Financial Analysis'!$R$71:$R$790,'Financial Analysis'!$B$71:$B$790,$A123,'Financial Analysis'!$C$71:$C$790,"&gt;="&amp;'Assumptions &amp; Data'!$C$62)/'Assumptions &amp; Data'!$C$85/100000</f>
        <v>4.87396</v>
      </c>
      <c r="BO123" s="40" t="n">
        <f aca="false">SUMIFS('Financial Analysis'!$H$71:$H$790,'Financial Analysis'!$B$71:$B$790,$A123,'Financial Analysis'!$C$71:$C$790,"&gt;="&amp;'Assumptions &amp; Data'!$C$62)/SUMIFS('Financial Analysis'!$E$71:$E$790,'Financial Analysis'!$B$71:$B$790,$A123,'Financial Analysis'!$C$71:$C$790,"&gt;="&amp;'Assumptions &amp; Data'!$C$62)</f>
        <v>667.266220523183</v>
      </c>
      <c r="BP123" s="40" t="n">
        <f aca="false">(SUMIFS('Financial Analysis'!$I$71:$I$790,'Financial Analysis'!$B$71:$B$790,$A123,'Financial Analysis'!$C$71:$C$790,"&gt;="&amp;'Assumptions &amp; Data'!$C$62)+SUMIFS('Financial Analysis'!$J$71:$J$790,'Financial Analysis'!$B$71:$B$790,$A123,'Financial Analysis'!$C$71:$C$790,"&gt;="&amp;'Assumptions &amp; Data'!$C$62)+SUMIFS('Financial Analysis'!$K$71:$K$790,'Financial Analysis'!$B$71:$B$790,$A123,'Financial Analysis'!$C$71:$C$790,"&gt;="&amp;'Assumptions &amp; Data'!$C$62))/SUMIFS('Financial Analysis'!$E$71:$E$790,'Financial Analysis'!$B$71:$B$790,$A123,'Financial Analysis'!$C$71:$C$790,"&gt;="&amp;'Assumptions &amp; Data'!$C$62)</f>
        <v>140.559350381866</v>
      </c>
      <c r="BQ123" s="40" t="n">
        <f aca="false">SUMIFS('Financial Analysis'!$L$71:$L$790,'Financial Analysis'!$B$71:$B$790,$A123,'Financial Analysis'!$C$71:$C$790,"&gt;="&amp;'Assumptions &amp; Data'!$C$62)/SUMIFS('Financial Analysis'!$E$71:$E$790,'Financial Analysis'!$B$71:$B$790,$A123,'Financial Analysis'!$C$71:$C$790,"&gt;="&amp;'Assumptions &amp; Data'!$C$62)</f>
        <v>14.9167334835287</v>
      </c>
      <c r="BR123" s="40" t="n">
        <f aca="false">SUMIFS('Financial Analysis'!$L$71:$L$790,'Financial Analysis'!$B$71:$B$790,$A123,'Financial Analysis'!$C$71:$C$790,"&gt;="&amp;'Assumptions &amp; Data'!$C$62)/SUMIFS('Financial Analysis'!$E$71:$E$790,'Financial Analysis'!$B$71:$B$790,$A123,'Financial Analysis'!$C$71:$C$790,"&gt;="&amp;'Assumptions &amp; Data'!$C$62)</f>
        <v>14.9167334835287</v>
      </c>
      <c r="BS123" s="40" t="n">
        <f aca="false">SUMIFS('Financial Analysis'!$N$71:$N$790,'Financial Analysis'!$B$71:$B$790,$A123,'Financial Analysis'!$C$71:$C$790,"&gt;="&amp;'Assumptions &amp; Data'!$C$62)/SUMIFS('Financial Analysis'!$E$71:$E$790,'Financial Analysis'!$B$71:$B$790,$A123,'Financial Analysis'!$C$71:$C$790,"&gt;="&amp;'Assumptions &amp; Data'!$C$62)</f>
        <v>38.5684656641604</v>
      </c>
      <c r="BT123" s="40" t="n">
        <f aca="false">(SUMIFS('Financial Analysis'!$O$71:$O$790,'Financial Analysis'!$B$71:$B$790,$A123,'Financial Analysis'!$C$71:$C$790,"&gt;="&amp;'Assumptions &amp; Data'!$C$62)+SUMIFS('Financial Analysis'!$P$71:$P$790,'Financial Analysis'!$B$71:$B$790,$A123,'Financial Analysis'!$C$71:$C$790,"&gt;="&amp;'Assumptions &amp; Data'!$C$62))/SUMIFS('Financial Analysis'!$E$71:$E$790,'Financial Analysis'!$B$71:$B$790,$A123,'Financial Analysis'!$C$71:$C$790,"&gt;="&amp;'Assumptions &amp; Data'!$C$62)</f>
        <v>17.4845102904829</v>
      </c>
      <c r="BU123" s="40" t="n">
        <f aca="false">SUMIFS('Financial Analysis'!$R$71:$R$790,'Financial Analysis'!$B$71:$B$790,$A123,'Financial Analysis'!$C$71:$C$790,"&gt;="&amp;'Assumptions &amp; Data'!$C$62)/SUMIFS('Financial Analysis'!$E$71:$E$790,'Financial Analysis'!$B$71:$B$790,$A123,'Financial Analysis'!$C$71:$C$790,"&gt;="&amp;'Assumptions &amp; Data'!$C$62)</f>
        <v>18.3231578947368</v>
      </c>
      <c r="BV123" s="40" t="n">
        <f aca="false">SUMIFS('Financial Analysis'!$S$71:$S$790,'Financial Analysis'!$B$71:$B$790,$A123,'Financial Analysis'!$C$71:$C$790,"&gt;="&amp;'Assumptions &amp; Data'!$C$62)/SUMIFS('Financial Analysis'!$E$71:$E$790,'Financial Analysis'!$B$71:$B$790,$A123,'Financial Analysis'!$C$71:$C$790,"&gt;="&amp;'Assumptions &amp; Data'!$C$62)</f>
        <v>24.812030075188</v>
      </c>
      <c r="BW123" s="40" t="n">
        <f aca="false">(SUMIFS('Financial Analysis'!$T$71:$T$790,'Financial Analysis'!$B$71:$B$790,$A123,'Financial Analysis'!$C$71:$C$790,"&gt;="&amp;'Assumptions &amp; Data'!$C$62)+SUMIFS('Financial Analysis'!$U$71:$U$790,'Financial Analysis'!$B$71:$B$790,$A123,'Financial Analysis'!$C$71:$C$790,"&gt;="&amp;'Assumptions &amp; Data'!$C$62))/SUMIFS('Financial Analysis'!$E$71:$E$790,'Financial Analysis'!$B$71:$B$790,$A123,'Financial Analysis'!$C$71:$C$790,"&gt;="&amp;'Assumptions &amp; Data'!$C$62)</f>
        <v>10.0708646616541</v>
      </c>
      <c r="BX123" s="40" t="n">
        <f aca="false">SUMIFS('Financial Analysis'!$V$71:$V$790,'Financial Analysis'!$B$71:$B$790,$A123,'Financial Analysis'!$C$71:$C$790,"&gt;="&amp;'Assumptions &amp; Data'!$C$62)/SUMIFS('Financial Analysis'!$E$71:$E$790,'Financial Analysis'!$B$71:$B$790,$A123,'Financial Analysis'!$C$71:$C$790,"&gt;="&amp;'Assumptions &amp; Data'!$C$62)</f>
        <v>16.3835883121146</v>
      </c>
      <c r="BY123" s="37" t="n">
        <f aca="false">'Assumptions &amp; Data'!J159</f>
        <v>12</v>
      </c>
      <c r="BZ123" s="39" t="str">
        <f aca="false">IF(BK123="Close",COUNTIF($BK$106:BK123,"Close"),"")</f>
        <v/>
      </c>
    </row>
    <row r="124" customFormat="false" ht="15" hidden="false" customHeight="false" outlineLevel="0" collapsed="false">
      <c r="A124" s="48" t="str">
        <f aca="false">'Assumptions &amp; Data'!A160</f>
        <v>DS019</v>
      </c>
      <c r="B124" s="48" t="str">
        <f aca="false">'Assumptions &amp; Data'!B160</f>
        <v>Mumbai MMR</v>
      </c>
      <c r="C124" s="48" t="str">
        <f aca="false">'Assumptions &amp; Data'!C160</f>
        <v>Dense residential</v>
      </c>
      <c r="D124" s="37" t="n">
        <f aca="false">'Assumptions &amp; Data'!D160</f>
        <v>28</v>
      </c>
      <c r="E124" s="39" t="n">
        <f aca="false">SUMIFS('Financial Analysis'!$E$71:$E$790,'Financial Analysis'!$B$71:$B$790,$A124,'Financial Analysis'!$C$71:$C$790,"&gt;="&amp;'Assumptions &amp; Data'!$C$62)/'Assumptions &amp; Data'!$C$63</f>
        <v>846.771739130435</v>
      </c>
      <c r="F124" s="40" t="n">
        <f aca="false">SUMIFS('Financial Analysis'!$H$71:$H$790,'Financial Analysis'!$B$71:$B$790,$A124,'Financial Analysis'!$C$71:$C$790,"&gt;="&amp;'Assumptions &amp; Data'!$C$62)/'Assumptions &amp; Data'!$C$85/100000</f>
        <v>173.978797035067</v>
      </c>
      <c r="G124" s="40" t="n">
        <f aca="false">SUMIFS('Financial Analysis'!$F$71:$F$790,'Financial Analysis'!$B$71:$B$790,$A124,'Financial Analysis'!$C$71:$C$790,"&gt;="&amp;'Assumptions &amp; Data'!$C$62)/SUMIFS('Financial Analysis'!$E$71:$E$790,'Financial Analysis'!$B$71:$B$790,$A124,'Financial Analysis'!$C$71:$C$790,"&gt;="&amp;'Assumptions &amp; Data'!$C$62)</f>
        <v>716.19841341155</v>
      </c>
      <c r="H124" s="49" t="n">
        <f aca="false">SUMIFS('Financial Analysis'!$G$71:$G$790,'Financial Analysis'!$B$71:$B$790,$A124,'Financial Analysis'!$C$71:$C$790,"&gt;="&amp;'Assumptions &amp; Data'!$C$62)/SUMIFS('Financial Analysis'!$F$71:$F$790,'Financial Analysis'!$B$71:$B$790,$A124,'Financial Analysis'!$C$71:$C$790,"&gt;="&amp;'Assumptions &amp; Data'!$C$62)</f>
        <v>0.064529619077892</v>
      </c>
      <c r="I124" s="49" t="n">
        <f aca="false">SUMIFS('Financial Analysis'!$L$71:$L$790,'Financial Analysis'!$B$71:$B$790,$A124,'Financial Analysis'!$C$71:$C$790,"&gt;="&amp;'Assumptions &amp; Data'!$C$62)/SUMIFS('Financial Analysis'!$H$71:$H$790,'Financial Analysis'!$B$71:$B$790,$A124,'Financial Analysis'!$C$71:$C$790,"&gt;="&amp;'Assumptions &amp; Data'!$C$62)</f>
        <v>0.0204256063567526</v>
      </c>
      <c r="J124" s="40" t="n">
        <f aca="false">SUMIFS('Financial Analysis'!$N$71:$N$790,'Financial Analysis'!$B$71:$B$790,$A124,'Financial Analysis'!$C$71:$C$790,"&gt;="&amp;'Assumptions &amp; Data'!$C$62)/SUMIFS('Financial Analysis'!$E$71:$E$790,'Financial Analysis'!$B$71:$B$790,$A124,'Financial Analysis'!$C$71:$C$790,"&gt;="&amp;'Assumptions &amp; Data'!$C$62)</f>
        <v>44.9694887231557</v>
      </c>
      <c r="K124" s="40" t="n">
        <f aca="false">SUMIFS('Financial Analysis'!$R$71:$R$790,'Financial Analysis'!$B$71:$B$790,$A124,'Financial Analysis'!$C$71:$C$790,"&gt;="&amp;'Assumptions &amp; Data'!$C$62)/AVERAGEIFS('Assumptions &amp; Data'!$M$205:$M$924,'Assumptions &amp; Data'!$B$205:$B$924,$A124,'Assumptions &amp; Data'!$C$205:$C$924,"&gt;="&amp;'Assumptions &amp; Data'!$C$62)/'Assumptions &amp; Data'!$C$85</f>
        <v>22.6675714880722</v>
      </c>
      <c r="L124" s="40" t="n">
        <f aca="false">E124/K124</f>
        <v>37.3560855240277</v>
      </c>
      <c r="M124" s="40" t="n">
        <f aca="false">SUMIFS('Financial Analysis'!$Q$71:$Q$790,'Financial Analysis'!$B$71:$B$790,$A124,'Financial Analysis'!$C$71:$C$790,"&gt;="&amp;'Assumptions &amp; Data'!$C$62)/SUMIFS('Financial Analysis'!$E$71:$E$790,'Financial Analysis'!$B$71:$B$790,$A124,'Financial Analysis'!$C$71:$C$790,"&gt;="&amp;'Assumptions &amp; Data'!$C$62)</f>
        <v>65.6207667456782</v>
      </c>
      <c r="N124" s="40" t="n">
        <f aca="false">SUMIFS('Financial Analysis'!$Y$71:$Y$790,'Financial Analysis'!$B$71:$B$790,$A124,'Financial Analysis'!$C$71:$C$790,"&gt;="&amp;'Assumptions &amp; Data'!$C$62)/'Assumptions &amp; Data'!$C$85/100000</f>
        <v>22.07437</v>
      </c>
      <c r="O124" s="40" t="n">
        <f aca="false">SUMIFS('Financial Analysis'!$V$71:$V$790,'Financial Analysis'!$B$71:$B$790,$A124,'Financial Analysis'!$C$71:$C$790,"&gt;="&amp;'Assumptions &amp; Data'!$C$62)/'Assumptions &amp; Data'!$C$85/100000</f>
        <v>-5.03418802737145</v>
      </c>
      <c r="P124" s="49" t="n">
        <f aca="false">O124/F124</f>
        <v>-0.0289356410847971</v>
      </c>
      <c r="Q124" s="39" t="n">
        <f aca="false">IF(M124&gt;0,N124*100000/(M124*'Assumptions &amp; Data'!$C$63/'Assumptions &amp; Data'!$C$85),9999)</f>
        <v>1096.9338652095</v>
      </c>
      <c r="R124" s="49" t="n">
        <f aca="false">E124/Q124-1</f>
        <v>-0.228055796263787</v>
      </c>
      <c r="S124" s="50" t="n">
        <f aca="false">'Assumptions &amp; Data'!E160</f>
        <v>22.4</v>
      </c>
      <c r="T124" s="50" t="n">
        <f aca="false">'Assumptions &amp; Data'!G160</f>
        <v>2.4</v>
      </c>
      <c r="U124" s="49" t="n">
        <f aca="false">MAX(0,('Assumptions &amp; Data'!$C$72-T124)/'Assumptions &amp; Data'!$C$72)*'Assumptions &amp; Data'!$C$73</f>
        <v>0</v>
      </c>
      <c r="V124" s="39" t="n">
        <f aca="false">S124*$B$6*(1-U124)</f>
        <v>797.922176020455</v>
      </c>
      <c r="W124" s="49" t="n">
        <f aca="false">V124/E124-1</f>
        <v>-0.0576891750782143</v>
      </c>
      <c r="X124" s="39" t="n">
        <f aca="false">IF(D124&gt;='Assumptions &amp; Data'!$C$64,1,0)</f>
        <v>1</v>
      </c>
      <c r="Y124" s="40" t="n">
        <f aca="false">IF(AND(X124=1,T124&gt;='Assumptions &amp; Data'!$C$72),E124/S124,"")</f>
        <v>37.8023097826087</v>
      </c>
      <c r="Z124" s="49" t="n">
        <f aca="false">IF(X124=1,H124,"")</f>
        <v>0.064529619077892</v>
      </c>
      <c r="AA124" s="49" t="n">
        <f aca="false">IF(X124=1,I124,"")</f>
        <v>0.0204256063567526</v>
      </c>
      <c r="AB124" s="40" t="n">
        <f aca="false">IF(X124=1,J124,"")</f>
        <v>44.9694887231557</v>
      </c>
      <c r="AC124" s="40" t="n">
        <f aca="false">IF(X124=1,L124,"")</f>
        <v>37.3560855240277</v>
      </c>
      <c r="AD124" s="40" t="n">
        <f aca="false">IF(X124=1,AP124/E124*100,"")</f>
        <v>649.525692206975</v>
      </c>
      <c r="AE124" s="40" t="n">
        <f aca="false">IF(X124=1,M124,"")</f>
        <v>65.6207667456782</v>
      </c>
      <c r="AF124" s="40" t="n">
        <f aca="false">E124*'Assumptions &amp; Data'!$C$63/'Assumptions &amp; Data'!$C$85*G124/100000</f>
        <v>185.980016666667</v>
      </c>
      <c r="AG124" s="49" t="n">
        <f aca="false">MAX(0,H124-$B$7)</f>
        <v>0.00972451907463517</v>
      </c>
      <c r="AH124" s="40" t="n">
        <f aca="false">AG124*AF124</f>
        <v>1.80856621957597</v>
      </c>
      <c r="AI124" s="40" t="n">
        <f aca="false">AG124*100*E124*'Assumptions &amp; Data'!$C$63/'Assumptions &amp; Data'!$C$85*M124/100000</f>
        <v>16.5707574628081</v>
      </c>
      <c r="AJ124" s="49" t="n">
        <f aca="false">MAX(0,I124-$B$8)</f>
        <v>0</v>
      </c>
      <c r="AK124" s="40" t="n">
        <f aca="false">AJ124*F124</f>
        <v>0</v>
      </c>
      <c r="AL124" s="40" t="n">
        <f aca="false">MAX(0,K124-E124/$B$10)</f>
        <v>0.482219264248212</v>
      </c>
      <c r="AM124" s="40" t="n">
        <f aca="false">AL124*BN124/K124</f>
        <v>0.111918269039367</v>
      </c>
      <c r="AN124" s="40" t="n">
        <f aca="false">MAX(0,J124-$B$9)</f>
        <v>6.76333212669496</v>
      </c>
      <c r="AO124" s="40" t="n">
        <f aca="false">AN124*E124*'Assumptions &amp; Data'!$C$63/'Assumptions &amp; Data'!$C$85/100000</f>
        <v>1.75627954221972</v>
      </c>
      <c r="AP124" s="37" t="n">
        <f aca="false">'Assumptions &amp; Data'!H160</f>
        <v>5500</v>
      </c>
      <c r="AQ124" s="39" t="n">
        <f aca="false">MIN(AP124,$B$11*E124/100)</f>
        <v>3253.6090075117</v>
      </c>
      <c r="AR124" s="39" t="n">
        <f aca="false">IF(AP124-AQ124&gt;'Assumptions &amp; Data'!$C$78*AP124,AP124-AQ124,0)</f>
        <v>2246.3909924883</v>
      </c>
      <c r="AS124" s="50" t="n">
        <f aca="false">'Assumptions &amp; Data'!I160</f>
        <v>243</v>
      </c>
      <c r="AT124" s="40" t="n">
        <f aca="false">INDEX('Assumptions &amp; Data'!$B$89:$E$94,MATCH(B124,'Assumptions &amp; Data'!$A$89:$A$94,0),MATCH(C124,'Assumptions &amp; Data'!$B$88:$E$88,0))</f>
        <v>194</v>
      </c>
      <c r="AU124" s="39" t="n">
        <f aca="false">IF(BY124&lt;='Assumptions &amp; Data'!$C$79,1,0)</f>
        <v>1</v>
      </c>
      <c r="AV124" s="40" t="n">
        <f aca="false">AU124*(AR124*AS124+MAX(0,AS124-AT124)*(AP124-AR124))/100000</f>
        <v>7.0529985254273</v>
      </c>
      <c r="AW124" s="40" t="n">
        <f aca="false">'Assumptions &amp; Data'!$C$67*(AH124-'Assumptions &amp; Data'!$C$68*AI124+AK124+AM124+AO124+AV124)</f>
        <v>6.33843298898057</v>
      </c>
      <c r="AX124" s="40" t="n">
        <f aca="false">O124+AW124</f>
        <v>1.30424496160912</v>
      </c>
      <c r="AY124" s="49" t="n">
        <f aca="false">IF(D124&lt;'Assumptions &amp; Data'!$C$64,'Assumptions &amp; Data'!$C$70,'Assumptions &amp; Data'!$C$69)</f>
        <v>0.5</v>
      </c>
      <c r="AZ124" s="40" t="n">
        <f aca="false">AY124*MAX(0,V124-E124)*'Assumptions &amp; Data'!$C$63/'Assumptions &amp; Data'!$C$85*(M124-'Assumptions &amp; Data'!$C$71)/100000</f>
        <v>0</v>
      </c>
      <c r="BA124" s="40" t="n">
        <f aca="false">AX124+AZ124</f>
        <v>1.30424496160912</v>
      </c>
      <c r="BB124" s="40" t="n">
        <f aca="false">BA124+(1-'Assumptions &amp; Data'!$C$67)*AV124</f>
        <v>4.12544437178004</v>
      </c>
      <c r="BC124" s="48" t="str">
        <f aca="false">'Assumptions &amp; Data'!F160</f>
        <v>DS017</v>
      </c>
      <c r="BD124" s="39" t="n">
        <f aca="false">INDEX('Assumptions &amp; Data'!$K$142:$K$201,MATCH(BC124,'Assumptions &amp; Data'!$A$142:$A$201,0))*'Assumptions &amp; Data'!$C$77</f>
        <v>1458</v>
      </c>
      <c r="BE124" s="39" t="n">
        <f aca="false">MAX(0,BD124-INDEX($E$106:$E$165,MATCH(BC124,$A$106:$A$165,0)))</f>
        <v>328.217391304348</v>
      </c>
      <c r="BF124" s="39" t="n">
        <f aca="false">IF(T124&lt;='Assumptions &amp; Data'!$C$74,MIN('Assumptions &amp; Data'!$C$76*E124,BE124),0)</f>
        <v>0</v>
      </c>
      <c r="BG124" s="40" t="n">
        <f aca="false">-O124+BF124*'Assumptions &amp; Data'!$C$63/'Assumptions &amp; Data'!$C$85*($B$12-'Assumptions &amp; Data'!$C$71)/100000</f>
        <v>5.03418802737145</v>
      </c>
      <c r="BH124" s="40" t="n">
        <f aca="false">(AS124*AP124*BY124*'Assumptions &amp; Data'!$C$82+K124*(BN124*100000/K124)*'Assumptions &amp; Data'!$C$80*(1-'Assumptions &amp; Data'!$C$81)+AP124*'Assumptions &amp; Data'!$C$83)/100000</f>
        <v>91.524825</v>
      </c>
      <c r="BI124" s="40" t="n">
        <f aca="false">'Assumptions &amp; Data'!L160*MAX(0,1-D124/'Assumptions &amp; Data'!$C$84)</f>
        <v>124.666666666667</v>
      </c>
      <c r="BJ124" s="40" t="n">
        <f aca="false">IF(BG124&gt;0,BH124/BG124,99)</f>
        <v>18.1806528684207</v>
      </c>
      <c r="BK124" s="2" t="str">
        <f aca="false">IF(AND(P124&gt;='Assumptions &amp; Data'!$C$65,R124&gt;=0,W124&gt;='Assumptions &amp; Data'!$C$66),"Scale",IF(OR(O124&gt;=0,AX124&gt;=0),"Optimise",IF(BA124&gt;=0,"Turn around",IF(BB124&gt;=0,"Relocate or resize",IF(AND(BF124&gt;0,BJ124&lt;='Assumptions &amp; Data'!$C$75,D124&gt;='Assumptions &amp; Data'!$C$64),"Close","Relocate or resize")))))</f>
        <v>Optimise</v>
      </c>
      <c r="BL124" s="42" t="str">
        <f aca="false">INDEX($BK$106:$BK$165,MATCH(BC124,$A$106:$A$165,0))</f>
        <v>Optimise</v>
      </c>
      <c r="BM124" s="42" t="str">
        <f aca="false">IF(RANK(P124,$P$106:$P$165)&lt;=ROUND(COUNT($P$106:$P$165)/4,0),"Q1 top",IF(RANK(P124,$P$106:$P$165)&gt;COUNT($P$106:$P$165)-ROUND(COUNT($P$106:$P$165)/4,0),"Q4 bottom","Q2-Q3 middle"))</f>
        <v>Q2-Q3 middle</v>
      </c>
      <c r="BN124" s="40" t="n">
        <f aca="false">SUMIFS('Financial Analysis'!$R$71:$R$790,'Financial Analysis'!$B$71:$B$790,$A124,'Financial Analysis'!$C$71:$C$790,"&gt;="&amp;'Assumptions &amp; Data'!$C$62)/'Assumptions &amp; Data'!$C$85/100000</f>
        <v>5.26091666666667</v>
      </c>
      <c r="BO124" s="40" t="n">
        <f aca="false">SUMIFS('Financial Analysis'!$H$71:$H$790,'Financial Analysis'!$B$71:$B$790,$A124,'Financial Analysis'!$C$71:$C$790,"&gt;="&amp;'Assumptions &amp; Data'!$C$62)/SUMIFS('Financial Analysis'!$E$71:$E$790,'Financial Analysis'!$B$71:$B$790,$A124,'Financial Analysis'!$C$71:$C$790,"&gt;="&amp;'Assumptions &amp; Data'!$C$62)</f>
        <v>669.982402609912</v>
      </c>
      <c r="BP124" s="40" t="n">
        <f aca="false">(SUMIFS('Financial Analysis'!$I$71:$I$790,'Financial Analysis'!$B$71:$B$790,$A124,'Financial Analysis'!$C$71:$C$790,"&gt;="&amp;'Assumptions &amp; Data'!$C$62)+SUMIFS('Financial Analysis'!$J$71:$J$790,'Financial Analysis'!$B$71:$B$790,$A124,'Financial Analysis'!$C$71:$C$790,"&gt;="&amp;'Assumptions &amp; Data'!$C$62)+SUMIFS('Financial Analysis'!$K$71:$K$790,'Financial Analysis'!$B$71:$B$790,$A124,'Financial Analysis'!$C$71:$C$790,"&gt;="&amp;'Assumptions &amp; Data'!$C$62))/SUMIFS('Financial Analysis'!$E$71:$E$790,'Financial Analysis'!$B$71:$B$790,$A124,'Financial Analysis'!$C$71:$C$790,"&gt;="&amp;'Assumptions &amp; Data'!$C$62)</f>
        <v>142.040855912837</v>
      </c>
      <c r="BQ124" s="40" t="n">
        <f aca="false">SUMIFS('Financial Analysis'!$L$71:$L$790,'Financial Analysis'!$B$71:$B$790,$A124,'Financial Analysis'!$C$71:$C$790,"&gt;="&amp;'Assumptions &amp; Data'!$C$62)/SUMIFS('Financial Analysis'!$E$71:$E$790,'Financial Analysis'!$B$71:$B$790,$A124,'Financial Analysis'!$C$71:$C$790,"&gt;="&amp;'Assumptions &amp; Data'!$C$62)</f>
        <v>13.6847968216614</v>
      </c>
      <c r="BR124" s="40" t="n">
        <f aca="false">SUMIFS('Financial Analysis'!$L$71:$L$790,'Financial Analysis'!$B$71:$B$790,$A124,'Financial Analysis'!$C$71:$C$790,"&gt;="&amp;'Assumptions &amp; Data'!$C$62)/SUMIFS('Financial Analysis'!$E$71:$E$790,'Financial Analysis'!$B$71:$B$790,$A124,'Financial Analysis'!$C$71:$C$790,"&gt;="&amp;'Assumptions &amp; Data'!$C$62)</f>
        <v>13.6847968216614</v>
      </c>
      <c r="BS124" s="40" t="n">
        <f aca="false">SUMIFS('Financial Analysis'!$N$71:$N$790,'Financial Analysis'!$B$71:$B$790,$A124,'Financial Analysis'!$C$71:$C$790,"&gt;="&amp;'Assumptions &amp; Data'!$C$62)/SUMIFS('Financial Analysis'!$E$71:$E$790,'Financial Analysis'!$B$71:$B$790,$A124,'Financial Analysis'!$C$71:$C$790,"&gt;="&amp;'Assumptions &amp; Data'!$C$62)</f>
        <v>44.9694887231557</v>
      </c>
      <c r="BT124" s="40" t="n">
        <f aca="false">(SUMIFS('Financial Analysis'!$O$71:$O$790,'Financial Analysis'!$B$71:$B$790,$A124,'Financial Analysis'!$C$71:$C$790,"&gt;="&amp;'Assumptions &amp; Data'!$C$62)+SUMIFS('Financial Analysis'!$P$71:$P$790,'Financial Analysis'!$B$71:$B$790,$A124,'Financial Analysis'!$C$71:$C$790,"&gt;="&amp;'Assumptions &amp; Data'!$C$62))/SUMIFS('Financial Analysis'!$E$71:$E$790,'Financial Analysis'!$B$71:$B$790,$A124,'Financial Analysis'!$C$71:$C$790,"&gt;="&amp;'Assumptions &amp; Data'!$C$62)</f>
        <v>17.7658036223415</v>
      </c>
      <c r="BU124" s="40" t="n">
        <f aca="false">SUMIFS('Financial Analysis'!$R$71:$R$790,'Financial Analysis'!$B$71:$B$790,$A124,'Financial Analysis'!$C$71:$C$790,"&gt;="&amp;'Assumptions &amp; Data'!$C$62)/SUMIFS('Financial Analysis'!$E$71:$E$790,'Financial Analysis'!$B$71:$B$790,$A124,'Financial Analysis'!$C$71:$C$790,"&gt;="&amp;'Assumptions &amp; Data'!$C$62)</f>
        <v>20.2594893649795</v>
      </c>
      <c r="BV124" s="40" t="n">
        <f aca="false">SUMIFS('Financial Analysis'!$S$71:$S$790,'Financial Analysis'!$B$71:$B$790,$A124,'Financial Analysis'!$C$71:$C$790,"&gt;="&amp;'Assumptions &amp; Data'!$C$62)/SUMIFS('Financial Analysis'!$E$71:$E$790,'Financial Analysis'!$B$71:$B$790,$A124,'Financial Analysis'!$C$71:$C$790,"&gt;="&amp;'Assumptions &amp; Data'!$C$62)</f>
        <v>51.467851045531</v>
      </c>
      <c r="BW124" s="40" t="n">
        <f aca="false">(SUMIFS('Financial Analysis'!$T$71:$T$790,'Financial Analysis'!$B$71:$B$790,$A124,'Financial Analysis'!$C$71:$C$790,"&gt;="&amp;'Assumptions &amp; Data'!$C$62)+SUMIFS('Financial Analysis'!$U$71:$U$790,'Financial Analysis'!$B$71:$B$790,$A124,'Financial Analysis'!$C$71:$C$790,"&gt;="&amp;'Assumptions &amp; Data'!$C$62))/SUMIFS('Financial Analysis'!$E$71:$E$790,'Financial Analysis'!$B$71:$B$790,$A124,'Financial Analysis'!$C$71:$C$790,"&gt;="&amp;'Assumptions &amp; Data'!$C$62)</f>
        <v>13.2797966702181</v>
      </c>
      <c r="BX124" s="40" t="n">
        <f aca="false">SUMIFS('Financial Analysis'!$V$71:$V$790,'Financial Analysis'!$B$71:$B$790,$A124,'Financial Analysis'!$C$71:$C$790,"&gt;="&amp;'Assumptions &amp; Data'!$C$62)/SUMIFS('Financial Analysis'!$E$71:$E$790,'Financial Analysis'!$B$71:$B$790,$A124,'Financial Analysis'!$C$71:$C$790,"&gt;="&amp;'Assumptions &amp; Data'!$C$62)</f>
        <v>-19.3863703350504</v>
      </c>
      <c r="BY124" s="37" t="n">
        <f aca="false">'Assumptions &amp; Data'!J160</f>
        <v>12</v>
      </c>
      <c r="BZ124" s="39" t="str">
        <f aca="false">IF(BK124="Close",COUNTIF($BK$106:BK124,"Close"),"")</f>
        <v/>
      </c>
    </row>
    <row r="125" customFormat="false" ht="15" hidden="false" customHeight="false" outlineLevel="0" collapsed="false">
      <c r="A125" s="48" t="str">
        <f aca="false">'Assumptions &amp; Data'!A161</f>
        <v>DS020</v>
      </c>
      <c r="B125" s="48" t="str">
        <f aca="false">'Assumptions &amp; Data'!B161</f>
        <v>Mumbai MMR</v>
      </c>
      <c r="C125" s="48" t="str">
        <f aca="false">'Assumptions &amp; Data'!C161</f>
        <v>Mixed use</v>
      </c>
      <c r="D125" s="37" t="n">
        <f aca="false">'Assumptions &amp; Data'!D161</f>
        <v>19</v>
      </c>
      <c r="E125" s="39" t="n">
        <f aca="false">SUMIFS('Financial Analysis'!$E$71:$E$790,'Financial Analysis'!$B$71:$B$790,$A125,'Financial Analysis'!$C$71:$C$790,"&gt;="&amp;'Assumptions &amp; Data'!$C$62)/'Assumptions &amp; Data'!$C$63</f>
        <v>649.163043478261</v>
      </c>
      <c r="F125" s="40" t="n">
        <f aca="false">SUMIFS('Financial Analysis'!$H$71:$H$790,'Financial Analysis'!$B$71:$B$790,$A125,'Financial Analysis'!$C$71:$C$790,"&gt;="&amp;'Assumptions &amp; Data'!$C$62)/'Assumptions &amp; Data'!$C$85/100000</f>
        <v>127.849638246433</v>
      </c>
      <c r="G125" s="40" t="n">
        <f aca="false">SUMIFS('Financial Analysis'!$F$71:$F$790,'Financial Analysis'!$B$71:$B$790,$A125,'Financial Analysis'!$C$71:$C$790,"&gt;="&amp;'Assumptions &amp; Data'!$C$62)/SUMIFS('Financial Analysis'!$E$71:$E$790,'Financial Analysis'!$B$71:$B$790,$A125,'Financial Analysis'!$C$71:$C$790,"&gt;="&amp;'Assumptions &amp; Data'!$C$62)</f>
        <v>701.894243423807</v>
      </c>
      <c r="H125" s="49" t="n">
        <f aca="false">SUMIFS('Financial Analysis'!$G$71:$G$790,'Financial Analysis'!$B$71:$B$790,$A125,'Financial Analysis'!$C$71:$C$790,"&gt;="&amp;'Assumptions &amp; Data'!$C$62)/SUMIFS('Financial Analysis'!$F$71:$F$790,'Financial Analysis'!$B$71:$B$790,$A125,'Financial Analysis'!$C$71:$C$790,"&gt;="&amp;'Assumptions &amp; Data'!$C$62)</f>
        <v>0.0850287191480586</v>
      </c>
      <c r="I125" s="49" t="n">
        <f aca="false">SUMIFS('Financial Analysis'!$L$71:$L$790,'Financial Analysis'!$B$71:$B$790,$A125,'Financial Analysis'!$C$71:$C$790,"&gt;="&amp;'Assumptions &amp; Data'!$C$62)/SUMIFS('Financial Analysis'!$H$71:$H$790,'Financial Analysis'!$B$71:$B$790,$A125,'Financial Analysis'!$C$71:$C$790,"&gt;="&amp;'Assumptions &amp; Data'!$C$62)</f>
        <v>0.0364446003844489</v>
      </c>
      <c r="J125" s="40" t="n">
        <f aca="false">SUMIFS('Financial Analysis'!$N$71:$N$790,'Financial Analysis'!$B$71:$B$790,$A125,'Financial Analysis'!$C$71:$C$790,"&gt;="&amp;'Assumptions &amp; Data'!$C$62)/SUMIFS('Financial Analysis'!$E$71:$E$790,'Financial Analysis'!$B$71:$B$790,$A125,'Financial Analysis'!$C$71:$C$790,"&gt;="&amp;'Assumptions &amp; Data'!$C$62)</f>
        <v>43.9979719705976</v>
      </c>
      <c r="K125" s="40" t="n">
        <f aca="false">SUMIFS('Financial Analysis'!$R$71:$R$790,'Financial Analysis'!$B$71:$B$790,$A125,'Financial Analysis'!$C$71:$C$790,"&gt;="&amp;'Assumptions &amp; Data'!$C$62)/AVERAGEIFS('Assumptions &amp; Data'!$M$205:$M$924,'Assumptions &amp; Data'!$B$205:$B$924,$A125,'Assumptions &amp; Data'!$C$205:$C$924,"&gt;="&amp;'Assumptions &amp; Data'!$C$62)/'Assumptions &amp; Data'!$C$85</f>
        <v>19.6666666666667</v>
      </c>
      <c r="L125" s="40" t="n">
        <f aca="false">E125/K125</f>
        <v>33.0082903463523</v>
      </c>
      <c r="M125" s="40" t="n">
        <f aca="false">SUMIFS('Financial Analysis'!$Q$71:$Q$790,'Financial Analysis'!$B$71:$B$790,$A125,'Financial Analysis'!$C$71:$C$790,"&gt;="&amp;'Assumptions &amp; Data'!$C$62)/SUMIFS('Financial Analysis'!$E$71:$E$790,'Financial Analysis'!$B$71:$B$790,$A125,'Financial Analysis'!$C$71:$C$790,"&gt;="&amp;'Assumptions &amp; Data'!$C$62)</f>
        <v>50.3910475389956</v>
      </c>
      <c r="N125" s="40" t="n">
        <f aca="false">SUMIFS('Financial Analysis'!$Y$71:$Y$790,'Financial Analysis'!$B$71:$B$790,$A125,'Financial Analysis'!$C$71:$C$790,"&gt;="&amp;'Assumptions &amp; Data'!$C$62)/'Assumptions &amp; Data'!$C$85/100000</f>
        <v>17.4245333333333</v>
      </c>
      <c r="O125" s="40" t="n">
        <f aca="false">SUMIFS('Financial Analysis'!$V$71:$V$790,'Financial Analysis'!$B$71:$B$790,$A125,'Financial Analysis'!$C$71:$C$790,"&gt;="&amp;'Assumptions &amp; Data'!$C$62)/'Assumptions &amp; Data'!$C$85/100000</f>
        <v>-7.39285155942855</v>
      </c>
      <c r="P125" s="49" t="n">
        <f aca="false">O125/F125</f>
        <v>-0.0578245794108439</v>
      </c>
      <c r="Q125" s="39" t="n">
        <f aca="false">IF(M125&gt;0,N125*100000/(M125*'Assumptions &amp; Data'!$C$63/'Assumptions &amp; Data'!$C$85),9999)</f>
        <v>1127.56398625793</v>
      </c>
      <c r="R125" s="49" t="n">
        <f aca="false">E125/Q125-1</f>
        <v>-0.424278310242371</v>
      </c>
      <c r="S125" s="50" t="n">
        <f aca="false">'Assumptions &amp; Data'!E161</f>
        <v>23.5</v>
      </c>
      <c r="T125" s="50" t="n">
        <f aca="false">'Assumptions &amp; Data'!G161</f>
        <v>1.6</v>
      </c>
      <c r="U125" s="49" t="n">
        <f aca="false">MAX(0,('Assumptions &amp; Data'!$C$72-T125)/'Assumptions &amp; Data'!$C$72)*'Assumptions &amp; Data'!$C$73</f>
        <v>0</v>
      </c>
      <c r="V125" s="39" t="n">
        <f aca="false">S125*$B$6*(1-U125)</f>
        <v>837.105854307174</v>
      </c>
      <c r="W125" s="49" t="n">
        <f aca="false">V125/E125-1</f>
        <v>0.289515573502001</v>
      </c>
      <c r="X125" s="39" t="n">
        <f aca="false">IF(D125&gt;='Assumptions &amp; Data'!$C$64,1,0)</f>
        <v>1</v>
      </c>
      <c r="Y125" s="40" t="n">
        <f aca="false">IF(AND(X125=1,T125&gt;='Assumptions &amp; Data'!$C$72),E125/S125,"")</f>
        <v>27.6239592969473</v>
      </c>
      <c r="Z125" s="49" t="n">
        <f aca="false">IF(X125=1,H125,"")</f>
        <v>0.0850287191480586</v>
      </c>
      <c r="AA125" s="49" t="n">
        <f aca="false">IF(X125=1,I125,"")</f>
        <v>0.0364446003844489</v>
      </c>
      <c r="AB125" s="40" t="n">
        <f aca="false">IF(X125=1,J125,"")</f>
        <v>43.9979719705976</v>
      </c>
      <c r="AC125" s="40" t="n">
        <f aca="false">IF(X125=1,L125,"")</f>
        <v>33.0082903463523</v>
      </c>
      <c r="AD125" s="40" t="n">
        <f aca="false">IF(X125=1,AP125/E125*100,"")</f>
        <v>770.222527334528</v>
      </c>
      <c r="AE125" s="40" t="n">
        <f aca="false">IF(X125=1,M125,"")</f>
        <v>50.3910475389956</v>
      </c>
      <c r="AF125" s="40" t="n">
        <f aca="false">E125*'Assumptions &amp; Data'!$C$63/'Assumptions &amp; Data'!$C$85*G125/100000</f>
        <v>139.730766333333</v>
      </c>
      <c r="AG125" s="49" t="n">
        <f aca="false">MAX(0,H125-$B$7)</f>
        <v>0.0302236191448018</v>
      </c>
      <c r="AH125" s="40" t="n">
        <f aca="false">AG125*AF125</f>
        <v>4.22316946446996</v>
      </c>
      <c r="AI125" s="40" t="n">
        <f aca="false">AG125*100*E125*'Assumptions &amp; Data'!$C$63/'Assumptions &amp; Data'!$C$85*M125/100000</f>
        <v>30.3193729316348</v>
      </c>
      <c r="AJ125" s="49" t="n">
        <f aca="false">MAX(0,I125-$B$8)</f>
        <v>0.0150400066741618</v>
      </c>
      <c r="AK125" s="40" t="n">
        <f aca="false">AJ125*F125</f>
        <v>1.92285941251553</v>
      </c>
      <c r="AL125" s="40" t="n">
        <f aca="false">MAX(0,K125-E125/$B$10)</f>
        <v>2.65864655366155</v>
      </c>
      <c r="AM125" s="40" t="n">
        <f aca="false">AL125*BN125/K125</f>
        <v>0.61704527863931</v>
      </c>
      <c r="AN125" s="40" t="n">
        <f aca="false">MAX(0,J125-$B$9)</f>
        <v>5.79181537413683</v>
      </c>
      <c r="AO125" s="40" t="n">
        <f aca="false">AN125*E125*'Assumptions &amp; Data'!$C$63/'Assumptions &amp; Data'!$C$85/100000</f>
        <v>1.15301529863191</v>
      </c>
      <c r="AP125" s="37" t="n">
        <f aca="false">'Assumptions &amp; Data'!H161</f>
        <v>5000</v>
      </c>
      <c r="AQ125" s="39" t="n">
        <f aca="false">MIN(AP125,$B$11*E125/100)</f>
        <v>2494.32359158982</v>
      </c>
      <c r="AR125" s="39" t="n">
        <f aca="false">IF(AP125-AQ125&gt;'Assumptions &amp; Data'!$C$78*AP125,AP125-AQ125,0)</f>
        <v>2505.67640841018</v>
      </c>
      <c r="AS125" s="50" t="n">
        <f aca="false">'Assumptions &amp; Data'!I161</f>
        <v>191</v>
      </c>
      <c r="AT125" s="40" t="n">
        <f aca="false">INDEX('Assumptions &amp; Data'!$B$89:$E$94,MATCH(B125,'Assumptions &amp; Data'!$A$89:$A$94,0),MATCH(C125,'Assumptions &amp; Data'!$B$88:$E$88,0))</f>
        <v>213</v>
      </c>
      <c r="AU125" s="39" t="n">
        <f aca="false">IF(BY125&lt;='Assumptions &amp; Data'!$C$79,1,0)</f>
        <v>1</v>
      </c>
      <c r="AV125" s="40" t="n">
        <f aca="false">AU125*(AR125*AS125+MAX(0,AS125-AT125)*(AP125-AR125))/100000</f>
        <v>4.78584194006345</v>
      </c>
      <c r="AW125" s="40" t="n">
        <f aca="false">'Assumptions &amp; Data'!$C$67*(AH125-'Assumptions &amp; Data'!$C$68*AI125+AK125+AM125+AO125+AV125)</f>
        <v>7.43924259900229</v>
      </c>
      <c r="AX125" s="40" t="n">
        <f aca="false">O125+AW125</f>
        <v>0.0463910395737432</v>
      </c>
      <c r="AY125" s="49" t="n">
        <f aca="false">IF(D125&lt;'Assumptions &amp; Data'!$C$64,'Assumptions &amp; Data'!$C$70,'Assumptions &amp; Data'!$C$69)</f>
        <v>0.5</v>
      </c>
      <c r="AZ125" s="40" t="n">
        <f aca="false">AY125*MAX(0,V125-E125)*'Assumptions &amp; Data'!$C$63/'Assumptions &amp; Data'!$C$85*(M125-'Assumptions &amp; Data'!$C$71)/100000</f>
        <v>1.16398507437647</v>
      </c>
      <c r="BA125" s="40" t="n">
        <f aca="false">AX125+AZ125</f>
        <v>1.21037611395022</v>
      </c>
      <c r="BB125" s="40" t="n">
        <f aca="false">BA125+(1-'Assumptions &amp; Data'!$C$67)*AV125</f>
        <v>3.1247128899756</v>
      </c>
      <c r="BC125" s="48" t="str">
        <f aca="false">'Assumptions &amp; Data'!F161</f>
        <v>DS018</v>
      </c>
      <c r="BD125" s="39" t="n">
        <f aca="false">INDEX('Assumptions &amp; Data'!$K$142:$K$201,MATCH(BC125,'Assumptions &amp; Data'!$A$142:$A$201,0))*'Assumptions &amp; Data'!$C$77</f>
        <v>972</v>
      </c>
      <c r="BE125" s="39" t="n">
        <f aca="false">MAX(0,BD125-INDEX($E$106:$E$165,MATCH(BC125,$A$106:$A$165,0)))</f>
        <v>104.608695652174</v>
      </c>
      <c r="BF125" s="39" t="n">
        <f aca="false">IF(T125&lt;='Assumptions &amp; Data'!$C$74,MIN('Assumptions &amp; Data'!$C$76*E125,BE125),0)</f>
        <v>104.608695652174</v>
      </c>
      <c r="BG125" s="40" t="n">
        <f aca="false">-O125+BF125*'Assumptions &amp; Data'!$C$63/'Assumptions &amp; Data'!$C$85*($B$12-'Assumptions &amp; Data'!$C$71)/100000</f>
        <v>9.14881558153551</v>
      </c>
      <c r="BH125" s="40" t="n">
        <f aca="false">(AS125*AP125*BY125*'Assumptions &amp; Data'!$C$82+K125*(BN125*100000/K125)*'Assumptions &amp; Data'!$C$80*(1-'Assumptions &amp; Data'!$C$81)+AP125*'Assumptions &amp; Data'!$C$83)/100000</f>
        <v>10.107993</v>
      </c>
      <c r="BI125" s="40" t="n">
        <f aca="false">'Assumptions &amp; Data'!L161*MAX(0,1-D125/'Assumptions &amp; Data'!$C$84)</f>
        <v>131.547619047619</v>
      </c>
      <c r="BJ125" s="40" t="n">
        <f aca="false">IF(BG125&gt;0,BH125/BG125,99)</f>
        <v>1.10484170436229</v>
      </c>
      <c r="BK125" s="2" t="str">
        <f aca="false">IF(AND(P125&gt;='Assumptions &amp; Data'!$C$65,R125&gt;=0,W125&gt;='Assumptions &amp; Data'!$C$66),"Scale",IF(OR(O125&gt;=0,AX125&gt;=0),"Optimise",IF(BA125&gt;=0,"Turn around",IF(BB125&gt;=0,"Relocate or resize",IF(AND(BF125&gt;0,BJ125&lt;='Assumptions &amp; Data'!$C$75,D125&gt;='Assumptions &amp; Data'!$C$64),"Close","Relocate or resize")))))</f>
        <v>Optimise</v>
      </c>
      <c r="BL125" s="42" t="str">
        <f aca="false">INDEX($BK$106:$BK$165,MATCH(BC125,$A$106:$A$165,0))</f>
        <v>Optimise</v>
      </c>
      <c r="BM125" s="42" t="str">
        <f aca="false">IF(RANK(P125,$P$106:$P$165)&lt;=ROUND(COUNT($P$106:$P$165)/4,0),"Q1 top",IF(RANK(P125,$P$106:$P$165)&gt;COUNT($P$106:$P$165)-ROUND(COUNT($P$106:$P$165)/4,0),"Q4 bottom","Q2-Q3 middle"))</f>
        <v>Q4 bottom</v>
      </c>
      <c r="BN125" s="40" t="n">
        <f aca="false">SUMIFS('Financial Analysis'!$R$71:$R$790,'Financial Analysis'!$B$71:$B$790,$A125,'Financial Analysis'!$C$71:$C$790,"&gt;="&amp;'Assumptions &amp; Data'!$C$62)/'Assumptions &amp; Data'!$C$85/100000</f>
        <v>4.56443666666667</v>
      </c>
      <c r="BO125" s="40" t="n">
        <f aca="false">SUMIFS('Financial Analysis'!$H$71:$H$790,'Financial Analysis'!$B$71:$B$790,$A125,'Financial Analysis'!$C$71:$C$790,"&gt;="&amp;'Assumptions &amp; Data'!$C$62)/SUMIFS('Financial Analysis'!$E$71:$E$790,'Financial Analysis'!$B$71:$B$790,$A125,'Financial Analysis'!$C$71:$C$790,"&gt;="&amp;'Assumptions &amp; Data'!$C$62)</f>
        <v>642.213074928085</v>
      </c>
      <c r="BP125" s="40" t="n">
        <f aca="false">(SUMIFS('Financial Analysis'!$I$71:$I$790,'Financial Analysis'!$B$71:$B$790,$A125,'Financial Analysis'!$C$71:$C$790,"&gt;="&amp;'Assumptions &amp; Data'!$C$62)+SUMIFS('Financial Analysis'!$J$71:$J$790,'Financial Analysis'!$B$71:$B$790,$A125,'Financial Analysis'!$C$71:$C$790,"&gt;="&amp;'Assumptions &amp; Data'!$C$62)+SUMIFS('Financial Analysis'!$K$71:$K$790,'Financial Analysis'!$B$71:$B$790,$A125,'Financial Analysis'!$C$71:$C$790,"&gt;="&amp;'Assumptions &amp; Data'!$C$62))/SUMIFS('Financial Analysis'!$E$71:$E$790,'Financial Analysis'!$B$71:$B$790,$A125,'Financial Analysis'!$C$71:$C$790,"&gt;="&amp;'Assumptions &amp; Data'!$C$62)</f>
        <v>135.155943801832</v>
      </c>
      <c r="BQ125" s="40" t="n">
        <f aca="false">SUMIFS('Financial Analysis'!$L$71:$L$790,'Financial Analysis'!$B$71:$B$790,$A125,'Financial Analysis'!$C$71:$C$790,"&gt;="&amp;'Assumptions &amp; Data'!$C$62)/SUMIFS('Financial Analysis'!$E$71:$E$790,'Financial Analysis'!$B$71:$B$790,$A125,'Financial Analysis'!$C$71:$C$790,"&gt;="&amp;'Assumptions &amp; Data'!$C$62)</f>
        <v>23.4051988774222</v>
      </c>
      <c r="BR125" s="40" t="n">
        <f aca="false">SUMIFS('Financial Analysis'!$L$71:$L$790,'Financial Analysis'!$B$71:$B$790,$A125,'Financial Analysis'!$C$71:$C$790,"&gt;="&amp;'Assumptions &amp; Data'!$C$62)/SUMIFS('Financial Analysis'!$E$71:$E$790,'Financial Analysis'!$B$71:$B$790,$A125,'Financial Analysis'!$C$71:$C$790,"&gt;="&amp;'Assumptions &amp; Data'!$C$62)</f>
        <v>23.4051988774222</v>
      </c>
      <c r="BS125" s="40" t="n">
        <f aca="false">SUMIFS('Financial Analysis'!$N$71:$N$790,'Financial Analysis'!$B$71:$B$790,$A125,'Financial Analysis'!$C$71:$C$790,"&gt;="&amp;'Assumptions &amp; Data'!$C$62)/SUMIFS('Financial Analysis'!$E$71:$E$790,'Financial Analysis'!$B$71:$B$790,$A125,'Financial Analysis'!$C$71:$C$790,"&gt;="&amp;'Assumptions &amp; Data'!$C$62)</f>
        <v>43.9979719705976</v>
      </c>
      <c r="BT125" s="40" t="n">
        <f aca="false">(SUMIFS('Financial Analysis'!$O$71:$O$790,'Financial Analysis'!$B$71:$B$790,$A125,'Financial Analysis'!$C$71:$C$790,"&gt;="&amp;'Assumptions &amp; Data'!$C$62)+SUMIFS('Financial Analysis'!$P$71:$P$790,'Financial Analysis'!$B$71:$B$790,$A125,'Financial Analysis'!$C$71:$C$790,"&gt;="&amp;'Assumptions &amp; Data'!$C$62))/SUMIFS('Financial Analysis'!$E$71:$E$790,'Financial Analysis'!$B$71:$B$790,$A125,'Financial Analysis'!$C$71:$C$790,"&gt;="&amp;'Assumptions &amp; Data'!$C$62)</f>
        <v>17.3617254148163</v>
      </c>
      <c r="BU125" s="40" t="n">
        <f aca="false">SUMIFS('Financial Analysis'!$R$71:$R$790,'Financial Analysis'!$B$71:$B$790,$A125,'Financial Analysis'!$C$71:$C$790,"&gt;="&amp;'Assumptions &amp; Data'!$C$62)/SUMIFS('Financial Analysis'!$E$71:$E$790,'Financial Analysis'!$B$71:$B$790,$A125,'Financial Analysis'!$C$71:$C$790,"&gt;="&amp;'Assumptions &amp; Data'!$C$62)</f>
        <v>22.9280344255982</v>
      </c>
      <c r="BV125" s="40" t="n">
        <f aca="false">SUMIFS('Financial Analysis'!$S$71:$S$790,'Financial Analysis'!$B$71:$B$790,$A125,'Financial Analysis'!$C$71:$C$790,"&gt;="&amp;'Assumptions &amp; Data'!$C$62)/SUMIFS('Financial Analysis'!$E$71:$E$790,'Financial Analysis'!$B$71:$B$790,$A125,'Financial Analysis'!$C$71:$C$790,"&gt;="&amp;'Assumptions &amp; Data'!$C$62)</f>
        <v>47.9714682785527</v>
      </c>
      <c r="BW125" s="40" t="n">
        <f aca="false">(SUMIFS('Financial Analysis'!$T$71:$T$790,'Financial Analysis'!$B$71:$B$790,$A125,'Financial Analysis'!$C$71:$C$790,"&gt;="&amp;'Assumptions &amp; Data'!$C$62)+SUMIFS('Financial Analysis'!$U$71:$U$790,'Financial Analysis'!$B$71:$B$790,$A125,'Financial Analysis'!$C$71:$C$790,"&gt;="&amp;'Assumptions &amp; Data'!$C$62))/SUMIFS('Financial Analysis'!$E$71:$E$790,'Financial Analysis'!$B$71:$B$790,$A125,'Financial Analysis'!$C$71:$C$790,"&gt;="&amp;'Assumptions &amp; Data'!$C$62)</f>
        <v>16.6272457847061</v>
      </c>
      <c r="BX125" s="40" t="n">
        <f aca="false">SUMIFS('Financial Analysis'!$V$71:$V$790,'Financial Analysis'!$B$71:$B$790,$A125,'Financial Analysis'!$C$71:$C$790,"&gt;="&amp;'Assumptions &amp; Data'!$C$62)/SUMIFS('Financial Analysis'!$E$71:$E$790,'Financial Analysis'!$B$71:$B$790,$A125,'Financial Analysis'!$C$71:$C$790,"&gt;="&amp;'Assumptions &amp; Data'!$C$62)</f>
        <v>-37.1357009498613</v>
      </c>
      <c r="BY125" s="37" t="n">
        <f aca="false">'Assumptions &amp; Data'!J161</f>
        <v>0</v>
      </c>
      <c r="BZ125" s="39" t="str">
        <f aca="false">IF(BK125="Close",COUNTIF($BK$106:BK125,"Close"),"")</f>
        <v/>
      </c>
    </row>
    <row r="126" customFormat="false" ht="15" hidden="false" customHeight="false" outlineLevel="0" collapsed="false">
      <c r="A126" s="48" t="str">
        <f aca="false">'Assumptions &amp; Data'!A162</f>
        <v>DS021</v>
      </c>
      <c r="B126" s="48" t="str">
        <f aca="false">'Assumptions &amp; Data'!B162</f>
        <v>Mumbai MMR</v>
      </c>
      <c r="C126" s="48" t="str">
        <f aca="false">'Assumptions &amp; Data'!C162</f>
        <v>Dense residential</v>
      </c>
      <c r="D126" s="37" t="n">
        <f aca="false">'Assumptions &amp; Data'!D162</f>
        <v>21</v>
      </c>
      <c r="E126" s="39" t="n">
        <f aca="false">SUMIFS('Financial Analysis'!$E$71:$E$790,'Financial Analysis'!$B$71:$B$790,$A126,'Financial Analysis'!$C$71:$C$790,"&gt;="&amp;'Assumptions &amp; Data'!$C$62)/'Assumptions &amp; Data'!$C$63</f>
        <v>1559.65217391304</v>
      </c>
      <c r="F126" s="40" t="n">
        <f aca="false">SUMIFS('Financial Analysis'!$H$71:$H$790,'Financial Analysis'!$B$71:$B$790,$A126,'Financial Analysis'!$C$71:$C$790,"&gt;="&amp;'Assumptions &amp; Data'!$C$62)/'Assumptions &amp; Data'!$C$85/100000</f>
        <v>327.8725511459</v>
      </c>
      <c r="G126" s="40" t="n">
        <f aca="false">SUMIFS('Financial Analysis'!$F$71:$F$790,'Financial Analysis'!$B$71:$B$790,$A126,'Financial Analysis'!$C$71:$C$790,"&gt;="&amp;'Assumptions &amp; Data'!$C$62)/SUMIFS('Financial Analysis'!$E$71:$E$790,'Financial Analysis'!$B$71:$B$790,$A126,'Financial Analysis'!$C$71:$C$790,"&gt;="&amp;'Assumptions &amp; Data'!$C$62)</f>
        <v>724.20773096008</v>
      </c>
      <c r="H126" s="49" t="n">
        <f aca="false">SUMIFS('Financial Analysis'!$G$71:$G$790,'Financial Analysis'!$B$71:$B$790,$A126,'Financial Analysis'!$C$71:$C$790,"&gt;="&amp;'Assumptions &amp; Data'!$C$62)/SUMIFS('Financial Analysis'!$F$71:$F$790,'Financial Analysis'!$B$71:$B$790,$A126,'Financial Analysis'!$C$71:$C$790,"&gt;="&amp;'Assumptions &amp; Data'!$C$62)</f>
        <v>0.0534412471930492</v>
      </c>
      <c r="I126" s="49" t="n">
        <f aca="false">SUMIFS('Financial Analysis'!$L$71:$L$790,'Financial Analysis'!$B$71:$B$790,$A126,'Financial Analysis'!$C$71:$C$790,"&gt;="&amp;'Assumptions &amp; Data'!$C$62)/SUMIFS('Financial Analysis'!$H$71:$H$790,'Financial Analysis'!$B$71:$B$790,$A126,'Financial Analysis'!$C$71:$C$790,"&gt;="&amp;'Assumptions &amp; Data'!$C$62)</f>
        <v>0.026127459119247</v>
      </c>
      <c r="J126" s="40" t="n">
        <f aca="false">SUMIFS('Financial Analysis'!$N$71:$N$790,'Financial Analysis'!$B$71:$B$790,$A126,'Financial Analysis'!$C$71:$C$790,"&gt;="&amp;'Assumptions &amp; Data'!$C$62)/SUMIFS('Financial Analysis'!$E$71:$E$790,'Financial Analysis'!$B$71:$B$790,$A126,'Financial Analysis'!$C$71:$C$790,"&gt;="&amp;'Assumptions &amp; Data'!$C$62)</f>
        <v>44.7135948650758</v>
      </c>
      <c r="K126" s="40" t="n">
        <f aca="false">SUMIFS('Financial Analysis'!$R$71:$R$790,'Financial Analysis'!$B$71:$B$790,$A126,'Financial Analysis'!$C$71:$C$790,"&gt;="&amp;'Assumptions &amp; Data'!$C$62)/AVERAGEIFS('Assumptions &amp; Data'!$M$205:$M$924,'Assumptions &amp; Data'!$B$205:$B$924,$A126,'Assumptions &amp; Data'!$C$205:$C$924,"&gt;="&amp;'Assumptions &amp; Data'!$C$62)/'Assumptions &amp; Data'!$C$85</f>
        <v>37.6666666666667</v>
      </c>
      <c r="L126" s="40" t="n">
        <f aca="false">E126/K126</f>
        <v>41.4066948826472</v>
      </c>
      <c r="M126" s="40" t="n">
        <f aca="false">SUMIFS('Financial Analysis'!$Q$71:$Q$790,'Financial Analysis'!$B$71:$B$790,$A126,'Financial Analysis'!$C$71:$C$790,"&gt;="&amp;'Assumptions &amp; Data'!$C$62)/SUMIFS('Financial Analysis'!$E$71:$E$790,'Financial Analysis'!$B$71:$B$790,$A126,'Financial Analysis'!$C$71:$C$790,"&gt;="&amp;'Assumptions &amp; Data'!$C$62)</f>
        <v>71.3995541962266</v>
      </c>
      <c r="N126" s="40" t="n">
        <f aca="false">SUMIFS('Financial Analysis'!$Y$71:$Y$790,'Financial Analysis'!$B$71:$B$790,$A126,'Financial Analysis'!$C$71:$C$790,"&gt;="&amp;'Assumptions &amp; Data'!$C$62)/'Assumptions &amp; Data'!$C$85/100000</f>
        <v>22.0277</v>
      </c>
      <c r="O126" s="40" t="n">
        <f aca="false">SUMIFS('Financial Analysis'!$V$71:$V$790,'Financial Analysis'!$B$71:$B$790,$A126,'Financial Analysis'!$C$71:$C$790,"&gt;="&amp;'Assumptions &amp; Data'!$C$62)/'Assumptions &amp; Data'!$C$85/100000</f>
        <v>12.1222307750272</v>
      </c>
      <c r="P126" s="49" t="n">
        <f aca="false">O126/F126</f>
        <v>0.0369723867785228</v>
      </c>
      <c r="Q126" s="39" t="n">
        <f aca="false">IF(M126&gt;0,N126*100000/(M126*'Assumptions &amp; Data'!$C$63/'Assumptions &amp; Data'!$C$85),9999)</f>
        <v>1006.02107856768</v>
      </c>
      <c r="R126" s="49" t="n">
        <f aca="false">E126/Q126-1</f>
        <v>0.550317589899409</v>
      </c>
      <c r="S126" s="50" t="n">
        <f aca="false">'Assumptions &amp; Data'!E162</f>
        <v>44.2</v>
      </c>
      <c r="T126" s="50" t="n">
        <f aca="false">'Assumptions &amp; Data'!G162</f>
        <v>3.4</v>
      </c>
      <c r="U126" s="49" t="n">
        <f aca="false">MAX(0,('Assumptions &amp; Data'!$C$72-T126)/'Assumptions &amp; Data'!$C$72)*'Assumptions &amp; Data'!$C$73</f>
        <v>0</v>
      </c>
      <c r="V126" s="39" t="n">
        <f aca="false">S126*$B$6*(1-U126)</f>
        <v>1574.47143661179</v>
      </c>
      <c r="W126" s="49" t="n">
        <f aca="false">V126/E126-1</f>
        <v>0.00950164590965641</v>
      </c>
      <c r="X126" s="39" t="n">
        <f aca="false">IF(D126&gt;='Assumptions &amp; Data'!$C$64,1,0)</f>
        <v>1</v>
      </c>
      <c r="Y126" s="40" t="n">
        <f aca="false">IF(AND(X126=1,T126&gt;='Assumptions &amp; Data'!$C$72),E126/S126,"")</f>
        <v>35.2862482785756</v>
      </c>
      <c r="Z126" s="49" t="n">
        <f aca="false">IF(X126=1,H126,"")</f>
        <v>0.0534412471930492</v>
      </c>
      <c r="AA126" s="49" t="n">
        <f aca="false">IF(X126=1,I126,"")</f>
        <v>0.026127459119247</v>
      </c>
      <c r="AB126" s="40" t="n">
        <f aca="false">IF(X126=1,J126,"")</f>
        <v>44.7135948650758</v>
      </c>
      <c r="AC126" s="40" t="n">
        <f aca="false">IF(X126=1,L126,"")</f>
        <v>41.4066948826472</v>
      </c>
      <c r="AD126" s="40" t="n">
        <f aca="false">IF(X126=1,AP126/E126*100,"")</f>
        <v>288.525869759144</v>
      </c>
      <c r="AE126" s="40" t="n">
        <f aca="false">IF(X126=1,M126,"")</f>
        <v>71.3995541962266</v>
      </c>
      <c r="AF126" s="40" t="n">
        <f aca="false">E126*'Assumptions &amp; Data'!$C$63/'Assumptions &amp; Data'!$C$85*G126/100000</f>
        <v>346.383729666667</v>
      </c>
      <c r="AG126" s="49" t="n">
        <f aca="false">MAX(0,H126-$B$7)</f>
        <v>0</v>
      </c>
      <c r="AH126" s="40" t="n">
        <f aca="false">AG126*AF126</f>
        <v>0</v>
      </c>
      <c r="AI126" s="40" t="n">
        <f aca="false">AG126*100*E126*'Assumptions &amp; Data'!$C$63/'Assumptions &amp; Data'!$C$85*M126/100000</f>
        <v>0</v>
      </c>
      <c r="AJ126" s="49" t="n">
        <f aca="false">MAX(0,I126-$B$8)</f>
        <v>0.00472286540895993</v>
      </c>
      <c r="AK126" s="40" t="n">
        <f aca="false">AJ126*F126</f>
        <v>1.54849793035441</v>
      </c>
      <c r="AL126" s="40" t="n">
        <f aca="false">MAX(0,K126-E126/$B$10)</f>
        <v>0</v>
      </c>
      <c r="AM126" s="40" t="n">
        <f aca="false">AL126*BN126/K126</f>
        <v>0</v>
      </c>
      <c r="AN126" s="40" t="n">
        <f aca="false">MAX(0,J126-$B$9)</f>
        <v>6.50743826861506</v>
      </c>
      <c r="AO126" s="40" t="n">
        <f aca="false">AN126*E126*'Assumptions &amp; Data'!$C$63/'Assumptions &amp; Data'!$C$85/100000</f>
        <v>3.11246434095679</v>
      </c>
      <c r="AP126" s="37" t="n">
        <f aca="false">'Assumptions &amp; Data'!H162</f>
        <v>4500</v>
      </c>
      <c r="AQ126" s="39" t="n">
        <f aca="false">MIN(AP126,$B$11*E126/100)</f>
        <v>4500</v>
      </c>
      <c r="AR126" s="39" t="n">
        <f aca="false">IF(AP126-AQ126&gt;'Assumptions &amp; Data'!$C$78*AP126,AP126-AQ126,0)</f>
        <v>0</v>
      </c>
      <c r="AS126" s="50" t="n">
        <f aca="false">'Assumptions &amp; Data'!I162</f>
        <v>187</v>
      </c>
      <c r="AT126" s="40" t="n">
        <f aca="false">INDEX('Assumptions &amp; Data'!$B$89:$E$94,MATCH(B126,'Assumptions &amp; Data'!$A$89:$A$94,0),MATCH(C126,'Assumptions &amp; Data'!$B$88:$E$88,0))</f>
        <v>194</v>
      </c>
      <c r="AU126" s="39" t="n">
        <f aca="false">IF(BY126&lt;='Assumptions &amp; Data'!$C$79,1,0)</f>
        <v>1</v>
      </c>
      <c r="AV126" s="40" t="n">
        <f aca="false">AU126*(AR126*AS126+MAX(0,AS126-AT126)*(AP126-AR126))/100000</f>
        <v>0</v>
      </c>
      <c r="AW126" s="40" t="n">
        <f aca="false">'Assumptions &amp; Data'!$C$67*(AH126-'Assumptions &amp; Data'!$C$68*AI126+AK126+AM126+AO126+AV126)</f>
        <v>2.79657736278673</v>
      </c>
      <c r="AX126" s="40" t="n">
        <f aca="false">O126+AW126</f>
        <v>14.9188081378139</v>
      </c>
      <c r="AY126" s="49" t="n">
        <f aca="false">IF(D126&lt;'Assumptions &amp; Data'!$C$64,'Assumptions &amp; Data'!$C$70,'Assumptions &amp; Data'!$C$69)</f>
        <v>0.5</v>
      </c>
      <c r="AZ126" s="40" t="n">
        <f aca="false">AY126*MAX(0,V126-E126)*'Assumptions &amp; Data'!$C$63/'Assumptions &amp; Data'!$C$85*(M126-'Assumptions &amp; Data'!$C$71)/100000</f>
        <v>0.139517405560382</v>
      </c>
      <c r="BA126" s="40" t="n">
        <f aca="false">AX126+AZ126</f>
        <v>15.0583255433743</v>
      </c>
      <c r="BB126" s="40" t="n">
        <f aca="false">BA126+(1-'Assumptions &amp; Data'!$C$67)*AV126</f>
        <v>15.0583255433743</v>
      </c>
      <c r="BC126" s="48" t="str">
        <f aca="false">'Assumptions &amp; Data'!F162</f>
        <v>DS024</v>
      </c>
      <c r="BD126" s="39" t="n">
        <f aca="false">INDEX('Assumptions &amp; Data'!$K$142:$K$201,MATCH(BC126,'Assumptions &amp; Data'!$A$142:$A$201,0))*'Assumptions &amp; Data'!$C$77</f>
        <v>1620</v>
      </c>
      <c r="BE126" s="39" t="n">
        <f aca="false">MAX(0,BD126-INDEX($E$106:$E$165,MATCH(BC126,$A$106:$A$165,0)))</f>
        <v>508.934782608696</v>
      </c>
      <c r="BF126" s="39" t="n">
        <f aca="false">IF(T126&lt;='Assumptions &amp; Data'!$C$74,MIN('Assumptions &amp; Data'!$C$76*E126,BE126),0)</f>
        <v>0</v>
      </c>
      <c r="BG126" s="40" t="n">
        <f aca="false">-O126+BF126*'Assumptions &amp; Data'!$C$63/'Assumptions &amp; Data'!$C$85*($B$12-'Assumptions &amp; Data'!$C$71)/100000</f>
        <v>-12.1222307750272</v>
      </c>
      <c r="BH126" s="40" t="n">
        <f aca="false">(AS126*AP126*BY126*'Assumptions &amp; Data'!$C$82+K126*(BN126*100000/K126)*'Assumptions &amp; Data'!$C$80*(1-'Assumptions &amp; Data'!$C$81)+AP126*'Assumptions &amp; Data'!$C$83)/100000</f>
        <v>51.135351</v>
      </c>
      <c r="BI126" s="40" t="n">
        <f aca="false">'Assumptions &amp; Data'!L162*MAX(0,1-D126/'Assumptions &amp; Data'!$C$84)</f>
        <v>114.75</v>
      </c>
      <c r="BJ126" s="40" t="n">
        <f aca="false">IF(BG126&gt;0,BH126/BG126,99)</f>
        <v>99</v>
      </c>
      <c r="BK126" s="2" t="str">
        <f aca="false">IF(AND(P126&gt;='Assumptions &amp; Data'!$C$65,R126&gt;=0,W126&gt;='Assumptions &amp; Data'!$C$66),"Scale",IF(OR(O126&gt;=0,AX126&gt;=0),"Optimise",IF(BA126&gt;=0,"Turn around",IF(BB126&gt;=0,"Relocate or resize",IF(AND(BF126&gt;0,BJ126&lt;='Assumptions &amp; Data'!$C$75,D126&gt;='Assumptions &amp; Data'!$C$64),"Close","Relocate or resize")))))</f>
        <v>Optimise</v>
      </c>
      <c r="BL126" s="42" t="str">
        <f aca="false">INDEX($BK$106:$BK$165,MATCH(BC126,$A$106:$A$165,0))</f>
        <v>Optimise</v>
      </c>
      <c r="BM126" s="42" t="str">
        <f aca="false">IF(RANK(P126,$P$106:$P$165)&lt;=ROUND(COUNT($P$106:$P$165)/4,0),"Q1 top",IF(RANK(P126,$P$106:$P$165)&gt;COUNT($P$106:$P$165)-ROUND(COUNT($P$106:$P$165)/4,0),"Q4 bottom","Q2-Q3 middle"))</f>
        <v>Q2-Q3 middle</v>
      </c>
      <c r="BN126" s="40" t="n">
        <f aca="false">SUMIFS('Financial Analysis'!$R$71:$R$790,'Financial Analysis'!$B$71:$B$790,$A126,'Financial Analysis'!$C$71:$C$790,"&gt;="&amp;'Assumptions &amp; Data'!$C$62)/'Assumptions &amp; Data'!$C$85/100000</f>
        <v>8.74205666666667</v>
      </c>
      <c r="BO126" s="40" t="n">
        <f aca="false">SUMIFS('Financial Analysis'!$H$71:$H$790,'Financial Analysis'!$B$71:$B$790,$A126,'Financial Analysis'!$C$71:$C$790,"&gt;="&amp;'Assumptions &amp; Data'!$C$62)/SUMIFS('Financial Analysis'!$E$71:$E$790,'Financial Analysis'!$B$71:$B$790,$A126,'Financial Analysis'!$C$71:$C$790,"&gt;="&amp;'Assumptions &amp; Data'!$C$62)</f>
        <v>685.505166590725</v>
      </c>
      <c r="BP126" s="40" t="n">
        <f aca="false">(SUMIFS('Financial Analysis'!$I$71:$I$790,'Financial Analysis'!$B$71:$B$790,$A126,'Financial Analysis'!$C$71:$C$790,"&gt;="&amp;'Assumptions &amp; Data'!$C$62)+SUMIFS('Financial Analysis'!$J$71:$J$790,'Financial Analysis'!$B$71:$B$790,$A126,'Financial Analysis'!$C$71:$C$790,"&gt;="&amp;'Assumptions &amp; Data'!$C$62)+SUMIFS('Financial Analysis'!$K$71:$K$790,'Financial Analysis'!$B$71:$B$790,$A126,'Financial Analysis'!$C$71:$C$790,"&gt;="&amp;'Assumptions &amp; Data'!$C$62))/SUMIFS('Financial Analysis'!$E$71:$E$790,'Financial Analysis'!$B$71:$B$790,$A126,'Financial Analysis'!$C$71:$C$790,"&gt;="&amp;'Assumptions &amp; Data'!$C$62)</f>
        <v>151.972476000627</v>
      </c>
      <c r="BQ126" s="40" t="n">
        <f aca="false">SUMIFS('Financial Analysis'!$L$71:$L$790,'Financial Analysis'!$B$71:$B$790,$A126,'Financial Analysis'!$C$71:$C$790,"&gt;="&amp;'Assumptions &amp; Data'!$C$62)/SUMIFS('Financial Analysis'!$E$71:$E$790,'Financial Analysis'!$B$71:$B$790,$A126,'Financial Analysis'!$C$71:$C$790,"&gt;="&amp;'Assumptions &amp; Data'!$C$62)</f>
        <v>17.9105082161318</v>
      </c>
      <c r="BR126" s="40" t="n">
        <f aca="false">SUMIFS('Financial Analysis'!$L$71:$L$790,'Financial Analysis'!$B$71:$B$790,$A126,'Financial Analysis'!$C$71:$C$790,"&gt;="&amp;'Assumptions &amp; Data'!$C$62)/SUMIFS('Financial Analysis'!$E$71:$E$790,'Financial Analysis'!$B$71:$B$790,$A126,'Financial Analysis'!$C$71:$C$790,"&gt;="&amp;'Assumptions &amp; Data'!$C$62)</f>
        <v>17.9105082161318</v>
      </c>
      <c r="BS126" s="40" t="n">
        <f aca="false">SUMIFS('Financial Analysis'!$N$71:$N$790,'Financial Analysis'!$B$71:$B$790,$A126,'Financial Analysis'!$C$71:$C$790,"&gt;="&amp;'Assumptions &amp; Data'!$C$62)/SUMIFS('Financial Analysis'!$E$71:$E$790,'Financial Analysis'!$B$71:$B$790,$A126,'Financial Analysis'!$C$71:$C$790,"&gt;="&amp;'Assumptions &amp; Data'!$C$62)</f>
        <v>44.7135948650758</v>
      </c>
      <c r="BT126" s="40" t="n">
        <f aca="false">(SUMIFS('Financial Analysis'!$O$71:$O$790,'Financial Analysis'!$B$71:$B$790,$A126,'Financial Analysis'!$C$71:$C$790,"&gt;="&amp;'Assumptions &amp; Data'!$C$62)+SUMIFS('Financial Analysis'!$P$71:$P$790,'Financial Analysis'!$B$71:$B$790,$A126,'Financial Analysis'!$C$71:$C$790,"&gt;="&amp;'Assumptions &amp; Data'!$C$62))/SUMIFS('Financial Analysis'!$E$71:$E$790,'Financial Analysis'!$B$71:$B$790,$A126,'Financial Analysis'!$C$71:$C$790,"&gt;="&amp;'Assumptions &amp; Data'!$C$62)</f>
        <v>17.9488187231932</v>
      </c>
      <c r="BU126" s="40" t="n">
        <f aca="false">SUMIFS('Financial Analysis'!$R$71:$R$790,'Financial Analysis'!$B$71:$B$790,$A126,'Financial Analysis'!$C$71:$C$790,"&gt;="&amp;'Assumptions &amp; Data'!$C$62)/SUMIFS('Financial Analysis'!$E$71:$E$790,'Financial Analysis'!$B$71:$B$790,$A126,'Financial Analysis'!$C$71:$C$790,"&gt;="&amp;'Assumptions &amp; Data'!$C$62)</f>
        <v>18.2776050958965</v>
      </c>
      <c r="BV126" s="40" t="n">
        <f aca="false">SUMIFS('Financial Analysis'!$S$71:$S$790,'Financial Analysis'!$B$71:$B$790,$A126,'Financial Analysis'!$C$71:$C$790,"&gt;="&amp;'Assumptions &amp; Data'!$C$62)/SUMIFS('Financial Analysis'!$E$71:$E$790,'Financial Analysis'!$B$71:$B$790,$A126,'Financial Analysis'!$C$71:$C$790,"&gt;="&amp;'Assumptions &amp; Data'!$C$62)</f>
        <v>17.5938057537913</v>
      </c>
      <c r="BW126" s="40" t="n">
        <f aca="false">(SUMIFS('Financial Analysis'!$T$71:$T$790,'Financial Analysis'!$B$71:$B$790,$A126,'Financial Analysis'!$C$71:$C$790,"&gt;="&amp;'Assumptions &amp; Data'!$C$62)+SUMIFS('Financial Analysis'!$U$71:$U$790,'Financial Analysis'!$B$71:$B$790,$A126,'Financial Analysis'!$C$71:$C$790,"&gt;="&amp;'Assumptions &amp; Data'!$C$62))/SUMIFS('Financial Analysis'!$E$71:$E$790,'Financial Analysis'!$B$71:$B$790,$A126,'Financial Analysis'!$C$71:$C$790,"&gt;="&amp;'Assumptions &amp; Data'!$C$62)</f>
        <v>10.1833811886708</v>
      </c>
      <c r="BX126" s="40" t="n">
        <f aca="false">SUMIFS('Financial Analysis'!$V$71:$V$790,'Financial Analysis'!$B$71:$B$790,$A126,'Financial Analysis'!$C$71:$C$790,"&gt;="&amp;'Assumptions &amp; Data'!$C$62)/SUMIFS('Financial Analysis'!$E$71:$E$790,'Financial Analysis'!$B$71:$B$790,$A126,'Financial Analysis'!$C$71:$C$790,"&gt;="&amp;'Assumptions &amp; Data'!$C$62)</f>
        <v>25.344762157868</v>
      </c>
      <c r="BY126" s="37" t="n">
        <f aca="false">'Assumptions &amp; Data'!J162</f>
        <v>9</v>
      </c>
      <c r="BZ126" s="39" t="str">
        <f aca="false">IF(BK126="Close",COUNTIF($BK$106:BK126,"Close"),"")</f>
        <v/>
      </c>
    </row>
    <row r="127" customFormat="false" ht="15" hidden="false" customHeight="false" outlineLevel="0" collapsed="false">
      <c r="A127" s="48" t="str">
        <f aca="false">'Assumptions &amp; Data'!A163</f>
        <v>DS022</v>
      </c>
      <c r="B127" s="48" t="str">
        <f aca="false">'Assumptions &amp; Data'!B163</f>
        <v>Mumbai MMR</v>
      </c>
      <c r="C127" s="48" t="str">
        <f aca="false">'Assumptions &amp; Data'!C163</f>
        <v>Dense residential</v>
      </c>
      <c r="D127" s="37" t="n">
        <f aca="false">'Assumptions &amp; Data'!D163</f>
        <v>12</v>
      </c>
      <c r="E127" s="39" t="n">
        <f aca="false">SUMIFS('Financial Analysis'!$E$71:$E$790,'Financial Analysis'!$B$71:$B$790,$A127,'Financial Analysis'!$C$71:$C$790,"&gt;="&amp;'Assumptions &amp; Data'!$C$62)/'Assumptions &amp; Data'!$C$63</f>
        <v>679.826086956522</v>
      </c>
      <c r="F127" s="40" t="n">
        <f aca="false">SUMIFS('Financial Analysis'!$H$71:$H$790,'Financial Analysis'!$B$71:$B$790,$A127,'Financial Analysis'!$C$71:$C$790,"&gt;="&amp;'Assumptions &amp; Data'!$C$62)/'Assumptions &amp; Data'!$C$85/100000</f>
        <v>145.620519546833</v>
      </c>
      <c r="G127" s="40" t="n">
        <f aca="false">SUMIFS('Financial Analysis'!$F$71:$F$790,'Financial Analysis'!$B$71:$B$790,$A127,'Financial Analysis'!$C$71:$C$790,"&gt;="&amp;'Assumptions &amp; Data'!$C$62)/SUMIFS('Financial Analysis'!$E$71:$E$790,'Financial Analysis'!$B$71:$B$790,$A127,'Financial Analysis'!$C$71:$C$790,"&gt;="&amp;'Assumptions &amp; Data'!$C$62)</f>
        <v>745.071097147608</v>
      </c>
      <c r="H127" s="49" t="n">
        <f aca="false">SUMIFS('Financial Analysis'!$G$71:$G$790,'Financial Analysis'!$B$71:$B$790,$A127,'Financial Analysis'!$C$71:$C$790,"&gt;="&amp;'Assumptions &amp; Data'!$C$62)/SUMIFS('Financial Analysis'!$F$71:$F$790,'Financial Analysis'!$B$71:$B$790,$A127,'Financial Analysis'!$C$71:$C$790,"&gt;="&amp;'Assumptions &amp; Data'!$C$62)</f>
        <v>0.0625233459995807</v>
      </c>
      <c r="I127" s="49" t="n">
        <f aca="false">SUMIFS('Financial Analysis'!$L$71:$L$790,'Financial Analysis'!$B$71:$B$790,$A127,'Financial Analysis'!$C$71:$C$790,"&gt;="&amp;'Assumptions &amp; Data'!$C$62)/SUMIFS('Financial Analysis'!$H$71:$H$790,'Financial Analysis'!$B$71:$B$790,$A127,'Financial Analysis'!$C$71:$C$790,"&gt;="&amp;'Assumptions &amp; Data'!$C$62)</f>
        <v>0.0280223093893878</v>
      </c>
      <c r="J127" s="40" t="n">
        <f aca="false">SUMIFS('Financial Analysis'!$N$71:$N$790,'Financial Analysis'!$B$71:$B$790,$A127,'Financial Analysis'!$C$71:$C$790,"&gt;="&amp;'Assumptions &amp; Data'!$C$62)/SUMIFS('Financial Analysis'!$E$71:$E$790,'Financial Analysis'!$B$71:$B$790,$A127,'Financial Analysis'!$C$71:$C$790,"&gt;="&amp;'Assumptions &amp; Data'!$C$62)</f>
        <v>45.8791346891788</v>
      </c>
      <c r="K127" s="40" t="n">
        <f aca="false">SUMIFS('Financial Analysis'!$R$71:$R$790,'Financial Analysis'!$B$71:$B$790,$A127,'Financial Analysis'!$C$71:$C$790,"&gt;="&amp;'Assumptions &amp; Data'!$C$62)/AVERAGEIFS('Assumptions &amp; Data'!$M$205:$M$924,'Assumptions &amp; Data'!$B$205:$B$924,$A127,'Assumptions &amp; Data'!$C$205:$C$924,"&gt;="&amp;'Assumptions &amp; Data'!$C$62)/'Assumptions &amp; Data'!$C$85</f>
        <v>20.334539761874</v>
      </c>
      <c r="L127" s="40" t="n">
        <f aca="false">E127/K127</f>
        <v>33.4320862393529</v>
      </c>
      <c r="M127" s="40" t="n">
        <f aca="false">SUMIFS('Financial Analysis'!$Q$71:$Q$790,'Financial Analysis'!$B$71:$B$790,$A127,'Financial Analysis'!$C$71:$C$790,"&gt;="&amp;'Assumptions &amp; Data'!$C$62)/SUMIFS('Financial Analysis'!$E$71:$E$790,'Financial Analysis'!$B$71:$B$790,$A127,'Financial Analysis'!$C$71:$C$790,"&gt;="&amp;'Assumptions &amp; Data'!$C$62)</f>
        <v>59.125127520471</v>
      </c>
      <c r="N127" s="40" t="n">
        <f aca="false">SUMIFS('Financial Analysis'!$Y$71:$Y$790,'Financial Analysis'!$B$71:$B$790,$A127,'Financial Analysis'!$C$71:$C$790,"&gt;="&amp;'Assumptions &amp; Data'!$C$62)/'Assumptions &amp; Data'!$C$85/100000</f>
        <v>16.3170833333333</v>
      </c>
      <c r="O127" s="40" t="n">
        <f aca="false">SUMIFS('Financial Analysis'!$V$71:$V$790,'Financial Analysis'!$B$71:$B$790,$A127,'Financial Analysis'!$C$71:$C$790,"&gt;="&amp;'Assumptions &amp; Data'!$C$62)/'Assumptions &amp; Data'!$C$85/100000</f>
        <v>-3.99067674786555</v>
      </c>
      <c r="P127" s="49" t="n">
        <f aca="false">O127/F127</f>
        <v>-0.0274046319865113</v>
      </c>
      <c r="Q127" s="39" t="n">
        <f aca="false">IF(M127&gt;0,N127*100000/(M127*'Assumptions &amp; Data'!$C$63/'Assumptions &amp; Data'!$C$85),9999)</f>
        <v>899.919926876443</v>
      </c>
      <c r="R127" s="49" t="n">
        <f aca="false">E127/Q127-1</f>
        <v>-0.24457047049047</v>
      </c>
      <c r="S127" s="50" t="n">
        <f aca="false">'Assumptions &amp; Data'!E163</f>
        <v>24</v>
      </c>
      <c r="T127" s="50" t="n">
        <f aca="false">'Assumptions &amp; Data'!G163</f>
        <v>2</v>
      </c>
      <c r="U127" s="49" t="n">
        <f aca="false">MAX(0,('Assumptions &amp; Data'!$C$72-T127)/'Assumptions &amp; Data'!$C$72)*'Assumptions &amp; Data'!$C$73</f>
        <v>0</v>
      </c>
      <c r="V127" s="39" t="n">
        <f aca="false">S127*$B$6*(1-U127)</f>
        <v>854.916617164774</v>
      </c>
      <c r="W127" s="49" t="n">
        <f aca="false">V127/E127-1</f>
        <v>0.257551943898042</v>
      </c>
      <c r="X127" s="39" t="n">
        <f aca="false">IF(D127&gt;='Assumptions &amp; Data'!$C$64,1,0)</f>
        <v>1</v>
      </c>
      <c r="Y127" s="40" t="n">
        <f aca="false">IF(AND(X127=1,T127&gt;='Assumptions &amp; Data'!$C$72),E127/S127,"")</f>
        <v>28.3260869565217</v>
      </c>
      <c r="Z127" s="49" t="n">
        <f aca="false">IF(X127=1,H127,"")</f>
        <v>0.0625233459995807</v>
      </c>
      <c r="AA127" s="49" t="n">
        <f aca="false">IF(X127=1,I127,"")</f>
        <v>0.0280223093893878</v>
      </c>
      <c r="AB127" s="40" t="n">
        <f aca="false">IF(X127=1,J127,"")</f>
        <v>45.8791346891788</v>
      </c>
      <c r="AC127" s="40" t="n">
        <f aca="false">IF(X127=1,L127,"")</f>
        <v>33.4320862393529</v>
      </c>
      <c r="AD127" s="40" t="n">
        <f aca="false">IF(X127=1,AP127/E127*100,"")</f>
        <v>514.837554361729</v>
      </c>
      <c r="AE127" s="40" t="n">
        <f aca="false">IF(X127=1,M127,"")</f>
        <v>59.125127520471</v>
      </c>
      <c r="AF127" s="40" t="n">
        <f aca="false">E127*'Assumptions &amp; Data'!$C$63/'Assumptions &amp; Data'!$C$85*G127/100000</f>
        <v>155.332422333333</v>
      </c>
      <c r="AG127" s="49" t="n">
        <f aca="false">MAX(0,H127-$B$7)</f>
        <v>0.00771824599632393</v>
      </c>
      <c r="AH127" s="40" t="n">
        <f aca="false">AG127*AF127</f>
        <v>1.19889384677355</v>
      </c>
      <c r="AI127" s="40" t="n">
        <f aca="false">AG127*100*E127*'Assumptions &amp; Data'!$C$63/'Assumptions &amp; Data'!$C$85*M127/100000</f>
        <v>9.51382382773476</v>
      </c>
      <c r="AJ127" s="49" t="n">
        <f aca="false">MAX(0,I127-$B$8)</f>
        <v>0.0066177156791007</v>
      </c>
      <c r="AK127" s="40" t="n">
        <f aca="false">AJ127*F127</f>
        <v>0.963675195403868</v>
      </c>
      <c r="AL127" s="40" t="n">
        <f aca="false">MAX(0,K127-E127/$B$10)</f>
        <v>2.52315034828472</v>
      </c>
      <c r="AM127" s="40" t="n">
        <f aca="false">AL127*BN127/K127</f>
        <v>0.5855979643334</v>
      </c>
      <c r="AN127" s="40" t="n">
        <f aca="false">MAX(0,J127-$B$9)</f>
        <v>7.67297809271806</v>
      </c>
      <c r="AO127" s="40" t="n">
        <f aca="false">AN127*E127*'Assumptions &amp; Data'!$C$63/'Assumptions &amp; Data'!$C$85/100000</f>
        <v>1.59966247276986</v>
      </c>
      <c r="AP127" s="37" t="n">
        <f aca="false">'Assumptions &amp; Data'!H163</f>
        <v>3500</v>
      </c>
      <c r="AQ127" s="39" t="n">
        <f aca="false">MIN(AP127,$B$11*E127/100)</f>
        <v>2612.14230216823</v>
      </c>
      <c r="AR127" s="39" t="n">
        <f aca="false">IF(AP127-AQ127&gt;'Assumptions &amp; Data'!$C$78*AP127,AP127-AQ127,0)</f>
        <v>887.857697831766</v>
      </c>
      <c r="AS127" s="50" t="n">
        <f aca="false">'Assumptions &amp; Data'!I163</f>
        <v>227</v>
      </c>
      <c r="AT127" s="40" t="n">
        <f aca="false">INDEX('Assumptions &amp; Data'!$B$89:$E$94,MATCH(B127,'Assumptions &amp; Data'!$A$89:$A$94,0),MATCH(C127,'Assumptions &amp; Data'!$B$88:$E$88,0))</f>
        <v>194</v>
      </c>
      <c r="AU127" s="39" t="n">
        <f aca="false">IF(BY127&lt;='Assumptions &amp; Data'!$C$79,1,0)</f>
        <v>0</v>
      </c>
      <c r="AV127" s="40" t="n">
        <f aca="false">AU127*(AR127*AS127+MAX(0,AS127-AT127)*(AP127-AR127))/100000</f>
        <v>0</v>
      </c>
      <c r="AW127" s="40" t="n">
        <f aca="false">'Assumptions &amp; Data'!$C$67*(AH127-'Assumptions &amp; Data'!$C$68*AI127+AK127+AM127+AO127+AV127)</f>
        <v>2.551614744602</v>
      </c>
      <c r="AX127" s="40" t="n">
        <f aca="false">O127+AW127</f>
        <v>-1.43906200326355</v>
      </c>
      <c r="AY127" s="49" t="n">
        <f aca="false">IF(D127&lt;'Assumptions &amp; Data'!$C$64,'Assumptions &amp; Data'!$C$70,'Assumptions &amp; Data'!$C$69)</f>
        <v>0.5</v>
      </c>
      <c r="AZ127" s="40" t="n">
        <f aca="false">AY127*MAX(0,V127-E127)*'Assumptions &amp; Data'!$C$63/'Assumptions &amp; Data'!$C$85*(M127-'Assumptions &amp; Data'!$C$71)/100000</f>
        <v>1.31887284236311</v>
      </c>
      <c r="BA127" s="40" t="n">
        <f aca="false">AX127+AZ127</f>
        <v>-0.120189160900439</v>
      </c>
      <c r="BB127" s="40" t="n">
        <f aca="false">BA127+(1-'Assumptions &amp; Data'!$C$67)*AV127</f>
        <v>-0.120189160900439</v>
      </c>
      <c r="BC127" s="48" t="str">
        <f aca="false">'Assumptions &amp; Data'!F163</f>
        <v>DS016</v>
      </c>
      <c r="BD127" s="39" t="n">
        <f aca="false">INDEX('Assumptions &amp; Data'!$K$142:$K$201,MATCH(BC127,'Assumptions &amp; Data'!$A$142:$A$201,0))*'Assumptions &amp; Data'!$C$77</f>
        <v>1620</v>
      </c>
      <c r="BE127" s="39" t="n">
        <f aca="false">MAX(0,BD127-INDEX($E$106:$E$165,MATCH(BC127,$A$106:$A$165,0)))</f>
        <v>797.891304347826</v>
      </c>
      <c r="BF127" s="39" t="n">
        <f aca="false">IF(T127&lt;='Assumptions &amp; Data'!$C$74,MIN('Assumptions &amp; Data'!$C$76*E127,BE127),0)</f>
        <v>407.895652173913</v>
      </c>
      <c r="BG127" s="40" t="n">
        <f aca="false">-O127+BF127*'Assumptions &amp; Data'!$C$63/'Assumptions &amp; Data'!$C$85*($B$12-'Assumptions &amp; Data'!$C$71)/100000</f>
        <v>10.8376227452881</v>
      </c>
      <c r="BH127" s="40" t="n">
        <f aca="false">(AS127*AP127*BY127*'Assumptions &amp; Data'!$C$82+K127*(BN127*100000/K127)*'Assumptions &amp; Data'!$C$80*(1-'Assumptions &amp; Data'!$C$81)+AP127*'Assumptions &amp; Data'!$C$83)/100000</f>
        <v>151.457499</v>
      </c>
      <c r="BI127" s="40" t="n">
        <f aca="false">'Assumptions &amp; Data'!L163*MAX(0,1-D127/'Assumptions &amp; Data'!$C$84)</f>
        <v>102</v>
      </c>
      <c r="BJ127" s="40" t="n">
        <f aca="false">IF(BG127&gt;0,BH127/BG127,99)</f>
        <v>13.9751588110824</v>
      </c>
      <c r="BK127" s="2" t="str">
        <f aca="false">IF(AND(P127&gt;='Assumptions &amp; Data'!$C$65,R127&gt;=0,W127&gt;='Assumptions &amp; Data'!$C$66),"Scale",IF(OR(O127&gt;=0,AX127&gt;=0),"Optimise",IF(BA127&gt;=0,"Turn around",IF(BB127&gt;=0,"Relocate or resize",IF(AND(BF127&gt;0,BJ127&lt;='Assumptions &amp; Data'!$C$75,D127&gt;='Assumptions &amp; Data'!$C$64),"Close","Relocate or resize")))))</f>
        <v>Close</v>
      </c>
      <c r="BL127" s="42" t="str">
        <f aca="false">INDEX($BK$106:$BK$165,MATCH(BC127,$A$106:$A$165,0))</f>
        <v>Close</v>
      </c>
      <c r="BM127" s="42" t="str">
        <f aca="false">IF(RANK(P127,$P$106:$P$165)&lt;=ROUND(COUNT($P$106:$P$165)/4,0),"Q1 top",IF(RANK(P127,$P$106:$P$165)&gt;COUNT($P$106:$P$165)-ROUND(COUNT($P$106:$P$165)/4,0),"Q4 bottom","Q2-Q3 middle"))</f>
        <v>Q2-Q3 middle</v>
      </c>
      <c r="BN127" s="40" t="n">
        <f aca="false">SUMIFS('Financial Analysis'!$R$71:$R$790,'Financial Analysis'!$B$71:$B$790,$A127,'Financial Analysis'!$C$71:$C$790,"&gt;="&amp;'Assumptions &amp; Data'!$C$62)/'Assumptions &amp; Data'!$C$85/100000</f>
        <v>4.71944333333333</v>
      </c>
      <c r="BO127" s="40" t="n">
        <f aca="false">SUMIFS('Financial Analysis'!$H$71:$H$790,'Financial Analysis'!$B$71:$B$790,$A127,'Financial Analysis'!$C$71:$C$790,"&gt;="&amp;'Assumptions &amp; Data'!$C$62)/SUMIFS('Financial Analysis'!$E$71:$E$790,'Financial Analysis'!$B$71:$B$790,$A127,'Financial Analysis'!$C$71:$C$790,"&gt;="&amp;'Assumptions &amp; Data'!$C$62)</f>
        <v>698.486759146361</v>
      </c>
      <c r="BP127" s="40" t="n">
        <f aca="false">(SUMIFS('Financial Analysis'!$I$71:$I$790,'Financial Analysis'!$B$71:$B$790,$A127,'Financial Analysis'!$C$71:$C$790,"&gt;="&amp;'Assumptions &amp; Data'!$C$62)+SUMIFS('Financial Analysis'!$J$71:$J$790,'Financial Analysis'!$B$71:$B$790,$A127,'Financial Analysis'!$C$71:$C$790,"&gt;="&amp;'Assumptions &amp; Data'!$C$62)+SUMIFS('Financial Analysis'!$K$71:$K$790,'Financial Analysis'!$B$71:$B$790,$A127,'Financial Analysis'!$C$71:$C$790,"&gt;="&amp;'Assumptions &amp; Data'!$C$62))/SUMIFS('Financial Analysis'!$E$71:$E$790,'Financial Analysis'!$B$71:$B$790,$A127,'Financial Analysis'!$C$71:$C$790,"&gt;="&amp;'Assumptions &amp; Data'!$C$62)</f>
        <v>142.845378708864</v>
      </c>
      <c r="BQ127" s="40" t="n">
        <f aca="false">SUMIFS('Financial Analysis'!$L$71:$L$790,'Financial Analysis'!$B$71:$B$790,$A127,'Financial Analysis'!$C$71:$C$790,"&gt;="&amp;'Assumptions &amp; Data'!$C$62)/SUMIFS('Financial Analysis'!$E$71:$E$790,'Financial Analysis'!$B$71:$B$790,$A127,'Financial Analysis'!$C$71:$C$790,"&gt;="&amp;'Assumptions &amp; Data'!$C$62)</f>
        <v>19.5732120691901</v>
      </c>
      <c r="BR127" s="40" t="n">
        <f aca="false">SUMIFS('Financial Analysis'!$L$71:$L$790,'Financial Analysis'!$B$71:$B$790,$A127,'Financial Analysis'!$C$71:$C$790,"&gt;="&amp;'Assumptions &amp; Data'!$C$62)/SUMIFS('Financial Analysis'!$E$71:$E$790,'Financial Analysis'!$B$71:$B$790,$A127,'Financial Analysis'!$C$71:$C$790,"&gt;="&amp;'Assumptions &amp; Data'!$C$62)</f>
        <v>19.5732120691901</v>
      </c>
      <c r="BS127" s="40" t="n">
        <f aca="false">SUMIFS('Financial Analysis'!$N$71:$N$790,'Financial Analysis'!$B$71:$B$790,$A127,'Financial Analysis'!$C$71:$C$790,"&gt;="&amp;'Assumptions &amp; Data'!$C$62)/SUMIFS('Financial Analysis'!$E$71:$E$790,'Financial Analysis'!$B$71:$B$790,$A127,'Financial Analysis'!$C$71:$C$790,"&gt;="&amp;'Assumptions &amp; Data'!$C$62)</f>
        <v>45.8791346891788</v>
      </c>
      <c r="BT127" s="40" t="n">
        <f aca="false">(SUMIFS('Financial Analysis'!$O$71:$O$790,'Financial Analysis'!$B$71:$B$790,$A127,'Financial Analysis'!$C$71:$C$790,"&gt;="&amp;'Assumptions &amp; Data'!$C$62)+SUMIFS('Financial Analysis'!$P$71:$P$790,'Financial Analysis'!$B$71:$B$790,$A127,'Financial Analysis'!$C$71:$C$790,"&gt;="&amp;'Assumptions &amp; Data'!$C$62))/SUMIFS('Financial Analysis'!$E$71:$E$790,'Financial Analysis'!$B$71:$B$790,$A127,'Financial Analysis'!$C$71:$C$790,"&gt;="&amp;'Assumptions &amp; Data'!$C$62)</f>
        <v>18.2679044300237</v>
      </c>
      <c r="BU127" s="40" t="n">
        <f aca="false">SUMIFS('Financial Analysis'!$R$71:$R$790,'Financial Analysis'!$B$71:$B$790,$A127,'Financial Analysis'!$C$71:$C$790,"&gt;="&amp;'Assumptions &amp; Data'!$C$62)/SUMIFS('Financial Analysis'!$E$71:$E$790,'Financial Analysis'!$B$71:$B$790,$A127,'Financial Analysis'!$C$71:$C$790,"&gt;="&amp;'Assumptions &amp; Data'!$C$62)</f>
        <v>22.6373912765413</v>
      </c>
      <c r="BV127" s="40" t="n">
        <f aca="false">SUMIFS('Financial Analysis'!$S$71:$S$790,'Financial Analysis'!$B$71:$B$790,$A127,'Financial Analysis'!$C$71:$C$790,"&gt;="&amp;'Assumptions &amp; Data'!$C$62)/SUMIFS('Financial Analysis'!$E$71:$E$790,'Financial Analysis'!$B$71:$B$790,$A127,'Financial Analysis'!$C$71:$C$790,"&gt;="&amp;'Assumptions &amp; Data'!$C$62)</f>
        <v>38.109171143515</v>
      </c>
      <c r="BW127" s="40" t="n">
        <f aca="false">(SUMIFS('Financial Analysis'!$T$71:$T$790,'Financial Analysis'!$B$71:$B$790,$A127,'Financial Analysis'!$C$71:$C$790,"&gt;="&amp;'Assumptions &amp; Data'!$C$62)+SUMIFS('Financial Analysis'!$U$71:$U$790,'Financial Analysis'!$B$71:$B$790,$A127,'Financial Analysis'!$C$71:$C$790,"&gt;="&amp;'Assumptions &amp; Data'!$C$62))/SUMIFS('Financial Analysis'!$E$71:$E$790,'Financial Analysis'!$B$71:$B$790,$A127,'Financial Analysis'!$C$71:$C$790,"&gt;="&amp;'Assumptions &amp; Data'!$C$62)</f>
        <v>17.5203376822717</v>
      </c>
      <c r="BX127" s="40" t="n">
        <f aca="false">SUMIFS('Financial Analysis'!$V$71:$V$790,'Financial Analysis'!$B$71:$B$790,$A127,'Financial Analysis'!$C$71:$C$790,"&gt;="&amp;'Assumptions &amp; Data'!$C$62)/SUMIFS('Financial Analysis'!$E$71:$E$790,'Financial Analysis'!$B$71:$B$790,$A127,'Financial Analysis'!$C$71:$C$790,"&gt;="&amp;'Assumptions &amp; Data'!$C$62)</f>
        <v>-19.141772581857</v>
      </c>
      <c r="BY127" s="37" t="n">
        <f aca="false">'Assumptions &amp; Data'!J163</f>
        <v>36</v>
      </c>
      <c r="BZ127" s="39" t="n">
        <f aca="false">IF(BK127="Close",COUNTIF($BK$106:BK127,"Close"),"")</f>
        <v>3</v>
      </c>
    </row>
    <row r="128" customFormat="false" ht="15" hidden="false" customHeight="false" outlineLevel="0" collapsed="false">
      <c r="A128" s="48" t="str">
        <f aca="false">'Assumptions &amp; Data'!A164</f>
        <v>DS023</v>
      </c>
      <c r="B128" s="48" t="str">
        <f aca="false">'Assumptions &amp; Data'!B164</f>
        <v>Mumbai MMR</v>
      </c>
      <c r="C128" s="48" t="str">
        <f aca="false">'Assumptions &amp; Data'!C164</f>
        <v>Dense residential</v>
      </c>
      <c r="D128" s="37" t="n">
        <f aca="false">'Assumptions &amp; Data'!D164</f>
        <v>15</v>
      </c>
      <c r="E128" s="39" t="n">
        <f aca="false">SUMIFS('Financial Analysis'!$E$71:$E$790,'Financial Analysis'!$B$71:$B$790,$A128,'Financial Analysis'!$C$71:$C$790,"&gt;="&amp;'Assumptions &amp; Data'!$C$62)/'Assumptions &amp; Data'!$C$63</f>
        <v>1299.02173913043</v>
      </c>
      <c r="F128" s="40" t="n">
        <f aca="false">SUMIFS('Financial Analysis'!$H$71:$H$790,'Financial Analysis'!$B$71:$B$790,$A128,'Financial Analysis'!$C$71:$C$790,"&gt;="&amp;'Assumptions &amp; Data'!$C$62)/'Assumptions &amp; Data'!$C$85/100000</f>
        <v>260.018965021733</v>
      </c>
      <c r="G128" s="40" t="n">
        <f aca="false">SUMIFS('Financial Analysis'!$F$71:$F$790,'Financial Analysis'!$B$71:$B$790,$A128,'Financial Analysis'!$C$71:$C$790,"&gt;="&amp;'Assumptions &amp; Data'!$C$62)/SUMIFS('Financial Analysis'!$E$71:$E$790,'Financial Analysis'!$B$71:$B$790,$A128,'Financial Analysis'!$C$71:$C$790,"&gt;="&amp;'Assumptions &amp; Data'!$C$62)</f>
        <v>690.864245669818</v>
      </c>
      <c r="H128" s="49" t="n">
        <f aca="false">SUMIFS('Financial Analysis'!$G$71:$G$790,'Financial Analysis'!$B$71:$B$790,$A128,'Financial Analysis'!$C$71:$C$790,"&gt;="&amp;'Assumptions &amp; Data'!$C$62)/SUMIFS('Financial Analysis'!$F$71:$F$790,'Financial Analysis'!$B$71:$B$790,$A128,'Financial Analysis'!$C$71:$C$790,"&gt;="&amp;'Assumptions &amp; Data'!$C$62)</f>
        <v>0.0552229906377247</v>
      </c>
      <c r="I128" s="49" t="n">
        <f aca="false">SUMIFS('Financial Analysis'!$L$71:$L$790,'Financial Analysis'!$B$71:$B$790,$A128,'Financial Analysis'!$C$71:$C$790,"&gt;="&amp;'Assumptions &amp; Data'!$C$62)/SUMIFS('Financial Analysis'!$H$71:$H$790,'Financial Analysis'!$B$71:$B$790,$A128,'Financial Analysis'!$C$71:$C$790,"&gt;="&amp;'Assumptions &amp; Data'!$C$62)</f>
        <v>0.0204723100643412</v>
      </c>
      <c r="J128" s="40" t="n">
        <f aca="false">SUMIFS('Financial Analysis'!$N$71:$N$790,'Financial Analysis'!$B$71:$B$790,$A128,'Financial Analysis'!$C$71:$C$790,"&gt;="&amp;'Assumptions &amp; Data'!$C$62)/SUMIFS('Financial Analysis'!$E$71:$E$790,'Financial Analysis'!$B$71:$B$790,$A128,'Financial Analysis'!$C$71:$C$790,"&gt;="&amp;'Assumptions &amp; Data'!$C$62)</f>
        <v>38.2052407329931</v>
      </c>
      <c r="K128" s="40" t="n">
        <f aca="false">SUMIFS('Financial Analysis'!$R$71:$R$790,'Financial Analysis'!$B$71:$B$790,$A128,'Financial Analysis'!$C$71:$C$790,"&gt;="&amp;'Assumptions &amp; Data'!$C$62)/AVERAGEIFS('Assumptions &amp; Data'!$M$205:$M$924,'Assumptions &amp; Data'!$B$205:$B$924,$A128,'Assumptions &amp; Data'!$C$205:$C$924,"&gt;="&amp;'Assumptions &amp; Data'!$C$62)/'Assumptions &amp; Data'!$C$85</f>
        <v>29.0009048214055</v>
      </c>
      <c r="L128" s="40" t="n">
        <f aca="false">E128/K128</f>
        <v>44.792455515789</v>
      </c>
      <c r="M128" s="40" t="n">
        <f aca="false">SUMIFS('Financial Analysis'!$Q$71:$Q$790,'Financial Analysis'!$B$71:$B$790,$A128,'Financial Analysis'!$C$71:$C$790,"&gt;="&amp;'Assumptions &amp; Data'!$C$62)/SUMIFS('Financial Analysis'!$E$71:$E$790,'Financial Analysis'!$B$71:$B$790,$A128,'Financial Analysis'!$C$71:$C$790,"&gt;="&amp;'Assumptions &amp; Data'!$C$62)</f>
        <v>74.3672508448289</v>
      </c>
      <c r="N128" s="40" t="n">
        <f aca="false">SUMIFS('Financial Analysis'!$Y$71:$Y$790,'Financial Analysis'!$B$71:$B$790,$A128,'Financial Analysis'!$C$71:$C$790,"&gt;="&amp;'Assumptions &amp; Data'!$C$62)/'Assumptions &amp; Data'!$C$85/100000</f>
        <v>17.4234833333333</v>
      </c>
      <c r="O128" s="40" t="n">
        <f aca="false">SUMIFS('Financial Analysis'!$V$71:$V$790,'Financial Analysis'!$B$71:$B$790,$A128,'Financial Analysis'!$C$71:$C$790,"&gt;="&amp;'Assumptions &amp; Data'!$C$62)/'Assumptions &amp; Data'!$C$85/100000</f>
        <v>12.201950494885</v>
      </c>
      <c r="P128" s="49" t="n">
        <f aca="false">O128/F128</f>
        <v>0.0469271558475173</v>
      </c>
      <c r="Q128" s="39" t="n">
        <f aca="false">IF(M128&gt;0,N128*100000/(M128*'Assumptions &amp; Data'!$C$63/'Assumptions &amp; Data'!$C$85),9999)</f>
        <v>763.988259298277</v>
      </c>
      <c r="R128" s="49" t="n">
        <f aca="false">E128/Q128-1</f>
        <v>0.70031636392369</v>
      </c>
      <c r="S128" s="50" t="n">
        <f aca="false">'Assumptions &amp; Data'!E164</f>
        <v>41.3</v>
      </c>
      <c r="T128" s="50" t="n">
        <f aca="false">'Assumptions &amp; Data'!G164</f>
        <v>2.4</v>
      </c>
      <c r="U128" s="49" t="n">
        <f aca="false">MAX(0,('Assumptions &amp; Data'!$C$72-T128)/'Assumptions &amp; Data'!$C$72)*'Assumptions &amp; Data'!$C$73</f>
        <v>0</v>
      </c>
      <c r="V128" s="39" t="n">
        <f aca="false">S128*$B$6*(1-U128)</f>
        <v>1471.16901203771</v>
      </c>
      <c r="W128" s="49" t="n">
        <f aca="false">V128/E128-1</f>
        <v>0.132520702095805</v>
      </c>
      <c r="X128" s="39" t="n">
        <f aca="false">IF(D128&gt;='Assumptions &amp; Data'!$C$64,1,0)</f>
        <v>1</v>
      </c>
      <c r="Y128" s="40" t="n">
        <f aca="false">IF(AND(X128=1,T128&gt;='Assumptions &amp; Data'!$C$72),E128/S128,"")</f>
        <v>31.4533108748289</v>
      </c>
      <c r="Z128" s="49" t="n">
        <f aca="false">IF(X128=1,H128,"")</f>
        <v>0.0552229906377247</v>
      </c>
      <c r="AA128" s="49" t="n">
        <f aca="false">IF(X128=1,I128,"")</f>
        <v>0.0204723100643412</v>
      </c>
      <c r="AB128" s="40" t="n">
        <f aca="false">IF(X128=1,J128,"")</f>
        <v>38.2052407329931</v>
      </c>
      <c r="AC128" s="40" t="n">
        <f aca="false">IF(X128=1,L128,"")</f>
        <v>44.792455515789</v>
      </c>
      <c r="AD128" s="40" t="n">
        <f aca="false">IF(X128=1,AP128/E128*100,"")</f>
        <v>269.433520207514</v>
      </c>
      <c r="AE128" s="40" t="n">
        <f aca="false">IF(X128=1,M128,"")</f>
        <v>74.3672508448289</v>
      </c>
      <c r="AF128" s="40" t="n">
        <f aca="false">E128*'Assumptions &amp; Data'!$C$63/'Assumptions &amp; Data'!$C$85*G128/100000</f>
        <v>275.217286666667</v>
      </c>
      <c r="AG128" s="49" t="n">
        <f aca="false">MAX(0,H128-$B$7)</f>
        <v>0.00041789063446792</v>
      </c>
      <c r="AH128" s="40" t="n">
        <f aca="false">AG128*AF128</f>
        <v>0.115010726541673</v>
      </c>
      <c r="AI128" s="40" t="n">
        <f aca="false">AG128*100*E128*'Assumptions &amp; Data'!$C$63/'Assumptions &amp; Data'!$C$85*M128/100000</f>
        <v>1.23801913388615</v>
      </c>
      <c r="AJ128" s="49" t="n">
        <f aca="false">MAX(0,I128-$B$8)</f>
        <v>0</v>
      </c>
      <c r="AK128" s="40" t="n">
        <f aca="false">AJ128*F128</f>
        <v>0</v>
      </c>
      <c r="AL128" s="40" t="n">
        <f aca="false">MAX(0,K128-E128/$B$10)</f>
        <v>0</v>
      </c>
      <c r="AM128" s="40" t="n">
        <f aca="false">AL128*BN128/K128</f>
        <v>0</v>
      </c>
      <c r="AN128" s="40" t="n">
        <f aca="false">MAX(0,J128-$B$9)</f>
        <v>0</v>
      </c>
      <c r="AO128" s="40" t="n">
        <f aca="false">AN128*E128*'Assumptions &amp; Data'!$C$63/'Assumptions &amp; Data'!$C$85/100000</f>
        <v>0</v>
      </c>
      <c r="AP128" s="37" t="n">
        <f aca="false">'Assumptions &amp; Data'!H164</f>
        <v>3500</v>
      </c>
      <c r="AQ128" s="39" t="n">
        <f aca="false">MIN(AP128,$B$11*E128/100)</f>
        <v>3500</v>
      </c>
      <c r="AR128" s="39" t="n">
        <f aca="false">IF(AP128-AQ128&gt;'Assumptions &amp; Data'!$C$78*AP128,AP128-AQ128,0)</f>
        <v>0</v>
      </c>
      <c r="AS128" s="50" t="n">
        <f aca="false">'Assumptions &amp; Data'!I164</f>
        <v>173</v>
      </c>
      <c r="AT128" s="40" t="n">
        <f aca="false">INDEX('Assumptions &amp; Data'!$B$89:$E$94,MATCH(B128,'Assumptions &amp; Data'!$A$89:$A$94,0),MATCH(C128,'Assumptions &amp; Data'!$B$88:$E$88,0))</f>
        <v>194</v>
      </c>
      <c r="AU128" s="39" t="n">
        <f aca="false">IF(BY128&lt;='Assumptions &amp; Data'!$C$79,1,0)</f>
        <v>0</v>
      </c>
      <c r="AV128" s="40" t="n">
        <f aca="false">AU128*(AR128*AS128+MAX(0,AS128-AT128)*(AP128-AR128))/100000</f>
        <v>0</v>
      </c>
      <c r="AW128" s="40" t="n">
        <f aca="false">'Assumptions &amp; Data'!$C$67*(AH128-'Assumptions &amp; Data'!$C$68*AI128+AK128+AM128+AO128+AV128)</f>
        <v>0.0615783211216867</v>
      </c>
      <c r="AX128" s="40" t="n">
        <f aca="false">O128+AW128</f>
        <v>12.2635288160067</v>
      </c>
      <c r="AY128" s="49" t="n">
        <f aca="false">IF(D128&lt;'Assumptions &amp; Data'!$C$64,'Assumptions &amp; Data'!$C$70,'Assumptions &amp; Data'!$C$69)</f>
        <v>0.5</v>
      </c>
      <c r="AZ128" s="40" t="n">
        <f aca="false">AY128*MAX(0,V128-E128)*'Assumptions &amp; Data'!$C$63/'Assumptions &amp; Data'!$C$85*(M128-'Assumptions &amp; Data'!$C$71)/100000</f>
        <v>1.699032493613</v>
      </c>
      <c r="BA128" s="40" t="n">
        <f aca="false">AX128+AZ128</f>
        <v>13.9625613096197</v>
      </c>
      <c r="BB128" s="40" t="n">
        <f aca="false">BA128+(1-'Assumptions &amp; Data'!$C$67)*AV128</f>
        <v>13.9625613096197</v>
      </c>
      <c r="BC128" s="48" t="str">
        <f aca="false">'Assumptions &amp; Data'!F164</f>
        <v>DS025</v>
      </c>
      <c r="BD128" s="39" t="n">
        <f aca="false">INDEX('Assumptions &amp; Data'!$K$142:$K$201,MATCH(BC128,'Assumptions &amp; Data'!$A$142:$A$201,0))*'Assumptions &amp; Data'!$C$77</f>
        <v>1296</v>
      </c>
      <c r="BE128" s="39" t="n">
        <f aca="false">MAX(0,BD128-INDEX($E$106:$E$165,MATCH(BC128,$A$106:$A$165,0)))</f>
        <v>24.8152173913043</v>
      </c>
      <c r="BF128" s="39" t="n">
        <f aca="false">IF(T128&lt;='Assumptions &amp; Data'!$C$74,MIN('Assumptions &amp; Data'!$C$76*E128,BE128),0)</f>
        <v>0</v>
      </c>
      <c r="BG128" s="40" t="n">
        <f aca="false">-O128+BF128*'Assumptions &amp; Data'!$C$63/'Assumptions &amp; Data'!$C$85*($B$12-'Assumptions &amp; Data'!$C$71)/100000</f>
        <v>-12.201950494885</v>
      </c>
      <c r="BH128" s="40" t="n">
        <f aca="false">(AS128*AP128*BY128*'Assumptions &amp; Data'!$C$82+K128*(BN128*100000/K128)*'Assumptions &amp; Data'!$C$80*(1-'Assumptions &amp; Data'!$C$81)+AP128*'Assumptions &amp; Data'!$C$83)/100000</f>
        <v>64.752738</v>
      </c>
      <c r="BI128" s="40" t="n">
        <f aca="false">'Assumptions &amp; Data'!L164*MAX(0,1-D128/'Assumptions &amp; Data'!$C$84)</f>
        <v>97.75</v>
      </c>
      <c r="BJ128" s="40" t="n">
        <f aca="false">IF(BG128&gt;0,BH128/BG128,99)</f>
        <v>99</v>
      </c>
      <c r="BK128" s="2" t="str">
        <f aca="false">IF(AND(P128&gt;='Assumptions &amp; Data'!$C$65,R128&gt;=0,W128&gt;='Assumptions &amp; Data'!$C$66),"Scale",IF(OR(O128&gt;=0,AX128&gt;=0),"Optimise",IF(BA128&gt;=0,"Turn around",IF(BB128&gt;=0,"Relocate or resize",IF(AND(BF128&gt;0,BJ128&lt;='Assumptions &amp; Data'!$C$75,D128&gt;='Assumptions &amp; Data'!$C$64),"Close","Relocate or resize")))))</f>
        <v>Optimise</v>
      </c>
      <c r="BL128" s="42" t="str">
        <f aca="false">INDEX($BK$106:$BK$165,MATCH(BC128,$A$106:$A$165,0))</f>
        <v>Optimise</v>
      </c>
      <c r="BM128" s="42" t="str">
        <f aca="false">IF(RANK(P128,$P$106:$P$165)&lt;=ROUND(COUNT($P$106:$P$165)/4,0),"Q1 top",IF(RANK(P128,$P$106:$P$165)&gt;COUNT($P$106:$P$165)-ROUND(COUNT($P$106:$P$165)/4,0),"Q4 bottom","Q2-Q3 middle"))</f>
        <v>Q1 top</v>
      </c>
      <c r="BN128" s="40" t="n">
        <f aca="false">SUMIFS('Financial Analysis'!$R$71:$R$790,'Financial Analysis'!$B$71:$B$790,$A128,'Financial Analysis'!$C$71:$C$790,"&gt;="&amp;'Assumptions &amp; Data'!$C$62)/'Assumptions &amp; Data'!$C$85/100000</f>
        <v>6.73082</v>
      </c>
      <c r="BO128" s="40" t="n">
        <f aca="false">SUMIFS('Financial Analysis'!$H$71:$H$790,'Financial Analysis'!$B$71:$B$790,$A128,'Financial Analysis'!$C$71:$C$790,"&gt;="&amp;'Assumptions &amp; Data'!$C$62)/SUMIFS('Financial Analysis'!$E$71:$E$790,'Financial Analysis'!$B$71:$B$790,$A128,'Financial Analysis'!$C$71:$C$790,"&gt;="&amp;'Assumptions &amp; Data'!$C$62)</f>
        <v>652.712655899255</v>
      </c>
      <c r="BP128" s="40" t="n">
        <f aca="false">(SUMIFS('Financial Analysis'!$I$71:$I$790,'Financial Analysis'!$B$71:$B$790,$A128,'Financial Analysis'!$C$71:$C$790,"&gt;="&amp;'Assumptions &amp; Data'!$C$62)+SUMIFS('Financial Analysis'!$J$71:$J$790,'Financial Analysis'!$B$71:$B$790,$A128,'Financial Analysis'!$C$71:$C$790,"&gt;="&amp;'Assumptions &amp; Data'!$C$62)+SUMIFS('Financial Analysis'!$K$71:$K$790,'Financial Analysis'!$B$71:$B$790,$A128,'Financial Analysis'!$C$71:$C$790,"&gt;="&amp;'Assumptions &amp; Data'!$C$62))/SUMIFS('Financial Analysis'!$E$71:$E$790,'Financial Analysis'!$B$71:$B$790,$A128,'Financial Analysis'!$C$71:$C$790,"&gt;="&amp;'Assumptions &amp; Data'!$C$62)</f>
        <v>143.242298194765</v>
      </c>
      <c r="BQ128" s="40" t="n">
        <f aca="false">SUMIFS('Financial Analysis'!$L$71:$L$790,'Financial Analysis'!$B$71:$B$790,$A128,'Financial Analysis'!$C$71:$C$790,"&gt;="&amp;'Assumptions &amp; Data'!$C$62)/SUMIFS('Financial Analysis'!$E$71:$E$790,'Financial Analysis'!$B$71:$B$790,$A128,'Financial Analysis'!$C$71:$C$790,"&gt;="&amp;'Assumptions &amp; Data'!$C$62)</f>
        <v>13.3625358744892</v>
      </c>
      <c r="BR128" s="40" t="n">
        <f aca="false">SUMIFS('Financial Analysis'!$L$71:$L$790,'Financial Analysis'!$B$71:$B$790,$A128,'Financial Analysis'!$C$71:$C$790,"&gt;="&amp;'Assumptions &amp; Data'!$C$62)/SUMIFS('Financial Analysis'!$E$71:$E$790,'Financial Analysis'!$B$71:$B$790,$A128,'Financial Analysis'!$C$71:$C$790,"&gt;="&amp;'Assumptions &amp; Data'!$C$62)</f>
        <v>13.3625358744892</v>
      </c>
      <c r="BS128" s="40" t="n">
        <f aca="false">SUMIFS('Financial Analysis'!$N$71:$N$790,'Financial Analysis'!$B$71:$B$790,$A128,'Financial Analysis'!$C$71:$C$790,"&gt;="&amp;'Assumptions &amp; Data'!$C$62)/SUMIFS('Financial Analysis'!$E$71:$E$790,'Financial Analysis'!$B$71:$B$790,$A128,'Financial Analysis'!$C$71:$C$790,"&gt;="&amp;'Assumptions &amp; Data'!$C$62)</f>
        <v>38.2052407329931</v>
      </c>
      <c r="BT128" s="40" t="n">
        <f aca="false">(SUMIFS('Financial Analysis'!$O$71:$O$790,'Financial Analysis'!$B$71:$B$790,$A128,'Financial Analysis'!$C$71:$C$790,"&gt;="&amp;'Assumptions &amp; Data'!$C$62)+SUMIFS('Financial Analysis'!$P$71:$P$790,'Financial Analysis'!$B$71:$B$790,$A128,'Financial Analysis'!$C$71:$C$790,"&gt;="&amp;'Assumptions &amp; Data'!$C$62))/SUMIFS('Financial Analysis'!$E$71:$E$790,'Financial Analysis'!$B$71:$B$790,$A128,'Financial Analysis'!$C$71:$C$790,"&gt;="&amp;'Assumptions &amp; Data'!$C$62)</f>
        <v>17.3072707424539</v>
      </c>
      <c r="BU128" s="40" t="n">
        <f aca="false">SUMIFS('Financial Analysis'!$R$71:$R$790,'Financial Analysis'!$B$71:$B$790,$A128,'Financial Analysis'!$C$71:$C$790,"&gt;="&amp;'Assumptions &amp; Data'!$C$62)/SUMIFS('Financial Analysis'!$E$71:$E$790,'Financial Analysis'!$B$71:$B$790,$A128,'Financial Analysis'!$C$71:$C$790,"&gt;="&amp;'Assumptions &amp; Data'!$C$62)</f>
        <v>16.8960421722032</v>
      </c>
      <c r="BV128" s="40" t="n">
        <f aca="false">SUMIFS('Financial Analysis'!$S$71:$S$790,'Financial Analysis'!$B$71:$B$790,$A128,'Financial Analysis'!$C$71:$C$790,"&gt;="&amp;'Assumptions &amp; Data'!$C$62)/SUMIFS('Financial Analysis'!$E$71:$E$790,'Financial Analysis'!$B$71:$B$790,$A128,'Financial Analysis'!$C$71:$C$790,"&gt;="&amp;'Assumptions &amp; Data'!$C$62)</f>
        <v>15.1995648899674</v>
      </c>
      <c r="BW128" s="40" t="n">
        <f aca="false">(SUMIFS('Financial Analysis'!$T$71:$T$790,'Financial Analysis'!$B$71:$B$790,$A128,'Financial Analysis'!$C$71:$C$790,"&gt;="&amp;'Assumptions &amp; Data'!$C$62)+SUMIFS('Financial Analysis'!$U$71:$U$790,'Financial Analysis'!$B$71:$B$790,$A128,'Financial Analysis'!$C$71:$C$790,"&gt;="&amp;'Assumptions &amp; Data'!$C$62))/SUMIFS('Financial Analysis'!$E$71:$E$790,'Financial Analysis'!$B$71:$B$790,$A128,'Financial Analysis'!$C$71:$C$790,"&gt;="&amp;'Assumptions &amp; Data'!$C$62)</f>
        <v>11.6416952556271</v>
      </c>
      <c r="BX128" s="40" t="n">
        <f aca="false">SUMIFS('Financial Analysis'!$V$71:$V$790,'Financial Analysis'!$B$71:$B$790,$A128,'Financial Analysis'!$C$71:$C$790,"&gt;="&amp;'Assumptions &amp; Data'!$C$62)/SUMIFS('Financial Analysis'!$E$71:$E$790,'Financial Analysis'!$B$71:$B$790,$A128,'Financial Analysis'!$C$71:$C$790,"&gt;="&amp;'Assumptions &amp; Data'!$C$62)</f>
        <v>30.6299485270313</v>
      </c>
      <c r="BY128" s="37" t="n">
        <f aca="false">'Assumptions &amp; Data'!J164</f>
        <v>18</v>
      </c>
      <c r="BZ128" s="39" t="str">
        <f aca="false">IF(BK128="Close",COUNTIF($BK$106:BK128,"Close"),"")</f>
        <v/>
      </c>
    </row>
    <row r="129" customFormat="false" ht="15" hidden="false" customHeight="false" outlineLevel="0" collapsed="false">
      <c r="A129" s="48" t="str">
        <f aca="false">'Assumptions &amp; Data'!A165</f>
        <v>DS024</v>
      </c>
      <c r="B129" s="48" t="str">
        <f aca="false">'Assumptions &amp; Data'!B165</f>
        <v>Mumbai MMR</v>
      </c>
      <c r="C129" s="48" t="str">
        <f aca="false">'Assumptions &amp; Data'!C165</f>
        <v>Dense residential</v>
      </c>
      <c r="D129" s="37" t="n">
        <f aca="false">'Assumptions &amp; Data'!D165</f>
        <v>28</v>
      </c>
      <c r="E129" s="39" t="n">
        <f aca="false">SUMIFS('Financial Analysis'!$E$71:$E$790,'Financial Analysis'!$B$71:$B$790,$A129,'Financial Analysis'!$C$71:$C$790,"&gt;="&amp;'Assumptions &amp; Data'!$C$62)/'Assumptions &amp; Data'!$C$63</f>
        <v>1111.0652173913</v>
      </c>
      <c r="F129" s="40" t="n">
        <f aca="false">SUMIFS('Financial Analysis'!$H$71:$H$790,'Financial Analysis'!$B$71:$B$790,$A129,'Financial Analysis'!$C$71:$C$790,"&gt;="&amp;'Assumptions &amp; Data'!$C$62)/'Assumptions &amp; Data'!$C$85/100000</f>
        <v>221.0458565508</v>
      </c>
      <c r="G129" s="40" t="n">
        <f aca="false">SUMIFS('Financial Analysis'!$F$71:$F$790,'Financial Analysis'!$B$71:$B$790,$A129,'Financial Analysis'!$C$71:$C$790,"&gt;="&amp;'Assumptions &amp; Data'!$C$62)/SUMIFS('Financial Analysis'!$E$71:$E$790,'Financial Analysis'!$B$71:$B$790,$A129,'Financial Analysis'!$C$71:$C$790,"&gt;="&amp;'Assumptions &amp; Data'!$C$62)</f>
        <v>685.274505468704</v>
      </c>
      <c r="H129" s="49" t="n">
        <f aca="false">SUMIFS('Financial Analysis'!$G$71:$G$790,'Financial Analysis'!$B$71:$B$790,$A129,'Financial Analysis'!$C$71:$C$790,"&gt;="&amp;'Assumptions &amp; Data'!$C$62)/SUMIFS('Financial Analysis'!$F$71:$F$790,'Financial Analysis'!$B$71:$B$790,$A129,'Financial Analysis'!$C$71:$C$790,"&gt;="&amp;'Assumptions &amp; Data'!$C$62)</f>
        <v>0.0533015215376463</v>
      </c>
      <c r="I129" s="49" t="n">
        <f aca="false">SUMIFS('Financial Analysis'!$L$71:$L$790,'Financial Analysis'!$B$71:$B$790,$A129,'Financial Analysis'!$C$71:$C$790,"&gt;="&amp;'Assumptions &amp; Data'!$C$62)/SUMIFS('Financial Analysis'!$H$71:$H$790,'Financial Analysis'!$B$71:$B$790,$A129,'Financial Analysis'!$C$71:$C$790,"&gt;="&amp;'Assumptions &amp; Data'!$C$62)</f>
        <v>0.0153965624794157</v>
      </c>
      <c r="J129" s="40" t="n">
        <f aca="false">SUMIFS('Financial Analysis'!$N$71:$N$790,'Financial Analysis'!$B$71:$B$790,$A129,'Financial Analysis'!$C$71:$C$790,"&gt;="&amp;'Assumptions &amp; Data'!$C$62)/SUMIFS('Financial Analysis'!$E$71:$E$790,'Financial Analysis'!$B$71:$B$790,$A129,'Financial Analysis'!$C$71:$C$790,"&gt;="&amp;'Assumptions &amp; Data'!$C$62)</f>
        <v>39.3663841984778</v>
      </c>
      <c r="K129" s="40" t="n">
        <f aca="false">SUMIFS('Financial Analysis'!$R$71:$R$790,'Financial Analysis'!$B$71:$B$790,$A129,'Financial Analysis'!$C$71:$C$790,"&gt;="&amp;'Assumptions &amp; Data'!$C$62)/AVERAGEIFS('Assumptions &amp; Data'!$M$205:$M$924,'Assumptions &amp; Data'!$B$205:$B$924,$A129,'Assumptions &amp; Data'!$C$205:$C$924,"&gt;="&amp;'Assumptions &amp; Data'!$C$62)/'Assumptions &amp; Data'!$C$85</f>
        <v>29.334539761874</v>
      </c>
      <c r="L129" s="40" t="n">
        <f aca="false">E129/K129</f>
        <v>37.8756655604787</v>
      </c>
      <c r="M129" s="40" t="n">
        <f aca="false">SUMIFS('Financial Analysis'!$Q$71:$Q$790,'Financial Analysis'!$B$71:$B$790,$A129,'Financial Analysis'!$C$71:$C$790,"&gt;="&amp;'Assumptions &amp; Data'!$C$62)/SUMIFS('Financial Analysis'!$E$71:$E$790,'Financial Analysis'!$B$71:$B$790,$A129,'Financial Analysis'!$C$71:$C$790,"&gt;="&amp;'Assumptions &amp; Data'!$C$62)</f>
        <v>78.8471313996957</v>
      </c>
      <c r="N129" s="40" t="n">
        <f aca="false">SUMIFS('Financial Analysis'!$Y$71:$Y$790,'Financial Analysis'!$B$71:$B$790,$A129,'Financial Analysis'!$C$71:$C$790,"&gt;="&amp;'Assumptions &amp; Data'!$C$62)/'Assumptions &amp; Data'!$C$85/100000</f>
        <v>20.7033833333333</v>
      </c>
      <c r="O129" s="40" t="n">
        <f aca="false">SUMIFS('Financial Analysis'!$V$71:$V$790,'Financial Analysis'!$B$71:$B$790,$A129,'Financial Analysis'!$C$71:$C$790,"&gt;="&amp;'Assumptions &amp; Data'!$C$62)/'Assumptions &amp; Data'!$C$85/100000</f>
        <v>6.16193692471367</v>
      </c>
      <c r="P129" s="49" t="n">
        <f aca="false">O129/F129</f>
        <v>0.0278762833235806</v>
      </c>
      <c r="Q129" s="39" t="n">
        <f aca="false">IF(M129&gt;0,N129*100000/(M129*'Assumptions &amp; Data'!$C$63/'Assumptions &amp; Data'!$C$85),9999)</f>
        <v>856.226871038154</v>
      </c>
      <c r="R129" s="49" t="n">
        <f aca="false">E129/Q129-1</f>
        <v>0.297629465943022</v>
      </c>
      <c r="S129" s="50" t="n">
        <f aca="false">'Assumptions &amp; Data'!E165</f>
        <v>30.9</v>
      </c>
      <c r="T129" s="50" t="n">
        <f aca="false">'Assumptions &amp; Data'!G165</f>
        <v>3.4</v>
      </c>
      <c r="U129" s="49" t="n">
        <f aca="false">MAX(0,('Assumptions &amp; Data'!$C$72-T129)/'Assumptions &amp; Data'!$C$72)*'Assumptions &amp; Data'!$C$73</f>
        <v>0</v>
      </c>
      <c r="V129" s="39" t="n">
        <f aca="false">S129*$B$6*(1-U129)</f>
        <v>1100.70514459965</v>
      </c>
      <c r="W129" s="49" t="n">
        <f aca="false">V129/E129-1</f>
        <v>-0.00932445065284571</v>
      </c>
      <c r="X129" s="39" t="n">
        <f aca="false">IF(D129&gt;='Assumptions &amp; Data'!$C$64,1,0)</f>
        <v>1</v>
      </c>
      <c r="Y129" s="40" t="n">
        <f aca="false">IF(AND(X129=1,T129&gt;='Assumptions &amp; Data'!$C$72),E129/S129,"")</f>
        <v>35.9568031518221</v>
      </c>
      <c r="Z129" s="49" t="n">
        <f aca="false">IF(X129=1,H129,"")</f>
        <v>0.0533015215376463</v>
      </c>
      <c r="AA129" s="49" t="n">
        <f aca="false">IF(X129=1,I129,"")</f>
        <v>0.0153965624794157</v>
      </c>
      <c r="AB129" s="40" t="n">
        <f aca="false">IF(X129=1,J129,"")</f>
        <v>39.3663841984778</v>
      </c>
      <c r="AC129" s="40" t="n">
        <f aca="false">IF(X129=1,L129,"")</f>
        <v>37.8756655604787</v>
      </c>
      <c r="AD129" s="40" t="n">
        <f aca="false">IF(X129=1,AP129/E129*100,"")</f>
        <v>450.018587724276</v>
      </c>
      <c r="AE129" s="40" t="n">
        <f aca="false">IF(X129=1,M129,"")</f>
        <v>78.8471313996957</v>
      </c>
      <c r="AF129" s="40" t="n">
        <f aca="false">E129*'Assumptions &amp; Data'!$C$63/'Assumptions &amp; Data'!$C$85*G129/100000</f>
        <v>233.491298</v>
      </c>
      <c r="AG129" s="49" t="n">
        <f aca="false">MAX(0,H129-$B$7)</f>
        <v>0</v>
      </c>
      <c r="AH129" s="40" t="n">
        <f aca="false">AG129*AF129</f>
        <v>0</v>
      </c>
      <c r="AI129" s="40" t="n">
        <f aca="false">AG129*100*E129*'Assumptions &amp; Data'!$C$63/'Assumptions &amp; Data'!$C$85*M129/100000</f>
        <v>0</v>
      </c>
      <c r="AJ129" s="49" t="n">
        <f aca="false">MAX(0,I129-$B$8)</f>
        <v>0</v>
      </c>
      <c r="AK129" s="40" t="n">
        <f aca="false">AJ129*F129</f>
        <v>0</v>
      </c>
      <c r="AL129" s="40" t="n">
        <f aca="false">MAX(0,K129-E129/$B$10)</f>
        <v>0.224719426138055</v>
      </c>
      <c r="AM129" s="40" t="n">
        <f aca="false">AL129*BN129/K129</f>
        <v>0.0521551316123812</v>
      </c>
      <c r="AN129" s="40" t="n">
        <f aca="false">MAX(0,J129-$B$9)</f>
        <v>1.160227602017</v>
      </c>
      <c r="AO129" s="40" t="n">
        <f aca="false">AN129*E129*'Assumptions &amp; Data'!$C$63/'Assumptions &amp; Data'!$C$85/100000</f>
        <v>0.395320483409913</v>
      </c>
      <c r="AP129" s="37" t="n">
        <f aca="false">'Assumptions &amp; Data'!H165</f>
        <v>5000</v>
      </c>
      <c r="AQ129" s="39" t="n">
        <f aca="false">MIN(AP129,$B$11*E129/100)</f>
        <v>4269.12192765146</v>
      </c>
      <c r="AR129" s="39" t="n">
        <f aca="false">IF(AP129-AQ129&gt;'Assumptions &amp; Data'!$C$78*AP129,AP129-AQ129,0)</f>
        <v>0</v>
      </c>
      <c r="AS129" s="50" t="n">
        <f aca="false">'Assumptions &amp; Data'!I165</f>
        <v>204</v>
      </c>
      <c r="AT129" s="40" t="n">
        <f aca="false">INDEX('Assumptions &amp; Data'!$B$89:$E$94,MATCH(B129,'Assumptions &amp; Data'!$A$89:$A$94,0),MATCH(C129,'Assumptions &amp; Data'!$B$88:$E$88,0))</f>
        <v>194</v>
      </c>
      <c r="AU129" s="39" t="n">
        <f aca="false">IF(BY129&lt;='Assumptions &amp; Data'!$C$79,1,0)</f>
        <v>0</v>
      </c>
      <c r="AV129" s="40" t="n">
        <f aca="false">AU129*(AR129*AS129+MAX(0,AS129-AT129)*(AP129-AR129))/100000</f>
        <v>0</v>
      </c>
      <c r="AW129" s="40" t="n">
        <f aca="false">'Assumptions &amp; Data'!$C$67*(AH129-'Assumptions &amp; Data'!$C$68*AI129+AK129+AM129+AO129+AV129)</f>
        <v>0.268485369013377</v>
      </c>
      <c r="AX129" s="40" t="n">
        <f aca="false">O129+AW129</f>
        <v>6.43042229372704</v>
      </c>
      <c r="AY129" s="49" t="n">
        <f aca="false">IF(D129&lt;'Assumptions &amp; Data'!$C$64,'Assumptions &amp; Data'!$C$70,'Assumptions &amp; Data'!$C$69)</f>
        <v>0.5</v>
      </c>
      <c r="AZ129" s="40" t="n">
        <f aca="false">AY129*MAX(0,V129-E129)*'Assumptions &amp; Data'!$C$63/'Assumptions &amp; Data'!$C$85*(M129-'Assumptions &amp; Data'!$C$71)/100000</f>
        <v>0</v>
      </c>
      <c r="BA129" s="40" t="n">
        <f aca="false">AX129+AZ129</f>
        <v>6.43042229372704</v>
      </c>
      <c r="BB129" s="40" t="n">
        <f aca="false">BA129+(1-'Assumptions &amp; Data'!$C$67)*AV129</f>
        <v>6.43042229372704</v>
      </c>
      <c r="BC129" s="48" t="str">
        <f aca="false">'Assumptions &amp; Data'!F165</f>
        <v>DS021</v>
      </c>
      <c r="BD129" s="39" t="n">
        <f aca="false">INDEX('Assumptions &amp; Data'!$K$142:$K$201,MATCH(BC129,'Assumptions &amp; Data'!$A$142:$A$201,0))*'Assumptions &amp; Data'!$C$77</f>
        <v>1458</v>
      </c>
      <c r="BE129" s="39" t="n">
        <f aca="false">MAX(0,BD129-INDEX($E$106:$E$165,MATCH(BC129,$A$106:$A$165,0)))</f>
        <v>0</v>
      </c>
      <c r="BF129" s="39" t="n">
        <f aca="false">IF(T129&lt;='Assumptions &amp; Data'!$C$74,MIN('Assumptions &amp; Data'!$C$76*E129,BE129),0)</f>
        <v>0</v>
      </c>
      <c r="BG129" s="40" t="n">
        <f aca="false">-O129+BF129*'Assumptions &amp; Data'!$C$63/'Assumptions &amp; Data'!$C$85*($B$12-'Assumptions &amp; Data'!$C$71)/100000</f>
        <v>-6.16193692471367</v>
      </c>
      <c r="BH129" s="40" t="n">
        <f aca="false">(AS129*AP129*BY129*'Assumptions &amp; Data'!$C$82+K129*(BN129*100000/K129)*'Assumptions &amp; Data'!$C$80*(1-'Assumptions &amp; Data'!$C$81)+AP129*'Assumptions &amp; Data'!$C$83)/100000</f>
        <v>195.727428</v>
      </c>
      <c r="BI129" s="40" t="n">
        <f aca="false">'Assumptions &amp; Data'!L165*MAX(0,1-D129/'Assumptions &amp; Data'!$C$84)</f>
        <v>113.333333333333</v>
      </c>
      <c r="BJ129" s="40" t="n">
        <f aca="false">IF(BG129&gt;0,BH129/BG129,99)</f>
        <v>99</v>
      </c>
      <c r="BK129" s="2" t="str">
        <f aca="false">IF(AND(P129&gt;='Assumptions &amp; Data'!$C$65,R129&gt;=0,W129&gt;='Assumptions &amp; Data'!$C$66),"Scale",IF(OR(O129&gt;=0,AX129&gt;=0),"Optimise",IF(BA129&gt;=0,"Turn around",IF(BB129&gt;=0,"Relocate or resize",IF(AND(BF129&gt;0,BJ129&lt;='Assumptions &amp; Data'!$C$75,D129&gt;='Assumptions &amp; Data'!$C$64),"Close","Relocate or resize")))))</f>
        <v>Optimise</v>
      </c>
      <c r="BL129" s="42" t="str">
        <f aca="false">INDEX($BK$106:$BK$165,MATCH(BC129,$A$106:$A$165,0))</f>
        <v>Optimise</v>
      </c>
      <c r="BM129" s="42" t="str">
        <f aca="false">IF(RANK(P129,$P$106:$P$165)&lt;=ROUND(COUNT($P$106:$P$165)/4,0),"Q1 top",IF(RANK(P129,$P$106:$P$165)&gt;COUNT($P$106:$P$165)-ROUND(COUNT($P$106:$P$165)/4,0),"Q4 bottom","Q2-Q3 middle"))</f>
        <v>Q2-Q3 middle</v>
      </c>
      <c r="BN129" s="40" t="n">
        <f aca="false">SUMIFS('Financial Analysis'!$R$71:$R$790,'Financial Analysis'!$B$71:$B$790,$A129,'Financial Analysis'!$C$71:$C$790,"&gt;="&amp;'Assumptions &amp; Data'!$C$62)/'Assumptions &amp; Data'!$C$85/100000</f>
        <v>6.80825333333333</v>
      </c>
      <c r="BO129" s="40" t="n">
        <f aca="false">SUMIFS('Financial Analysis'!$H$71:$H$790,'Financial Analysis'!$B$71:$B$790,$A129,'Financial Analysis'!$C$71:$C$790,"&gt;="&amp;'Assumptions &amp; Data'!$C$62)/SUMIFS('Financial Analysis'!$E$71:$E$790,'Financial Analysis'!$B$71:$B$790,$A129,'Financial Analysis'!$C$71:$C$790,"&gt;="&amp;'Assumptions &amp; Data'!$C$62)</f>
        <v>648.748331656264</v>
      </c>
      <c r="BP129" s="40" t="n">
        <f aca="false">(SUMIFS('Financial Analysis'!$I$71:$I$790,'Financial Analysis'!$B$71:$B$790,$A129,'Financial Analysis'!$C$71:$C$790,"&gt;="&amp;'Assumptions &amp; Data'!$C$62)+SUMIFS('Financial Analysis'!$J$71:$J$790,'Financial Analysis'!$B$71:$B$790,$A129,'Financial Analysis'!$C$71:$C$790,"&gt;="&amp;'Assumptions &amp; Data'!$C$62)+SUMIFS('Financial Analysis'!$K$71:$K$790,'Financial Analysis'!$B$71:$B$790,$A129,'Financial Analysis'!$C$71:$C$790,"&gt;="&amp;'Assumptions &amp; Data'!$C$62))/SUMIFS('Financial Analysis'!$E$71:$E$790,'Financial Analysis'!$B$71:$B$790,$A129,'Financial Analysis'!$C$71:$C$790,"&gt;="&amp;'Assumptions &amp; Data'!$C$62)</f>
        <v>145.673584128837</v>
      </c>
      <c r="BQ129" s="40" t="n">
        <f aca="false">SUMIFS('Financial Analysis'!$L$71:$L$790,'Financial Analysis'!$B$71:$B$790,$A129,'Financial Analysis'!$C$71:$C$790,"&gt;="&amp;'Assumptions &amp; Data'!$C$62)/SUMIFS('Financial Analysis'!$E$71:$E$790,'Financial Analysis'!$B$71:$B$790,$A129,'Financial Analysis'!$C$71:$C$790,"&gt;="&amp;'Assumptions &amp; Data'!$C$62)</f>
        <v>9.98849422176239</v>
      </c>
      <c r="BR129" s="40" t="n">
        <f aca="false">SUMIFS('Financial Analysis'!$L$71:$L$790,'Financial Analysis'!$B$71:$B$790,$A129,'Financial Analysis'!$C$71:$C$790,"&gt;="&amp;'Assumptions &amp; Data'!$C$62)/SUMIFS('Financial Analysis'!$E$71:$E$790,'Financial Analysis'!$B$71:$B$790,$A129,'Financial Analysis'!$C$71:$C$790,"&gt;="&amp;'Assumptions &amp; Data'!$C$62)</f>
        <v>9.98849422176239</v>
      </c>
      <c r="BS129" s="40" t="n">
        <f aca="false">SUMIFS('Financial Analysis'!$N$71:$N$790,'Financial Analysis'!$B$71:$B$790,$A129,'Financial Analysis'!$C$71:$C$790,"&gt;="&amp;'Assumptions &amp; Data'!$C$62)/SUMIFS('Financial Analysis'!$E$71:$E$790,'Financial Analysis'!$B$71:$B$790,$A129,'Financial Analysis'!$C$71:$C$790,"&gt;="&amp;'Assumptions &amp; Data'!$C$62)</f>
        <v>39.3663841984778</v>
      </c>
      <c r="BT129" s="40" t="n">
        <f aca="false">(SUMIFS('Financial Analysis'!$O$71:$O$790,'Financial Analysis'!$B$71:$B$790,$A129,'Financial Analysis'!$C$71:$C$790,"&gt;="&amp;'Assumptions &amp; Data'!$C$62)+SUMIFS('Financial Analysis'!$P$71:$P$790,'Financial Analysis'!$B$71:$B$790,$A129,'Financial Analysis'!$C$71:$C$790,"&gt;="&amp;'Assumptions &amp; Data'!$C$62))/SUMIFS('Financial Analysis'!$E$71:$E$790,'Financial Analysis'!$B$71:$B$790,$A129,'Financial Analysis'!$C$71:$C$790,"&gt;="&amp;'Assumptions &amp; Data'!$C$62)</f>
        <v>17.471574308901</v>
      </c>
      <c r="BU129" s="40" t="n">
        <f aca="false">SUMIFS('Financial Analysis'!$R$71:$R$790,'Financial Analysis'!$B$71:$B$790,$A129,'Financial Analysis'!$C$71:$C$790,"&gt;="&amp;'Assumptions &amp; Data'!$C$62)/SUMIFS('Financial Analysis'!$E$71:$E$790,'Financial Analysis'!$B$71:$B$790,$A129,'Financial Analysis'!$C$71:$C$790,"&gt;="&amp;'Assumptions &amp; Data'!$C$62)</f>
        <v>19.9815688039289</v>
      </c>
      <c r="BV129" s="40" t="n">
        <f aca="false">SUMIFS('Financial Analysis'!$S$71:$S$790,'Financial Analysis'!$B$71:$B$790,$A129,'Financial Analysis'!$C$71:$C$790,"&gt;="&amp;'Assumptions &amp; Data'!$C$62)/SUMIFS('Financial Analysis'!$E$71:$E$790,'Financial Analysis'!$B$71:$B$790,$A129,'Financial Analysis'!$C$71:$C$790,"&gt;="&amp;'Assumptions &amp; Data'!$C$62)</f>
        <v>29.9360190964409</v>
      </c>
      <c r="BW129" s="40" t="n">
        <f aca="false">(SUMIFS('Financial Analysis'!$T$71:$T$790,'Financial Analysis'!$B$71:$B$790,$A129,'Financial Analysis'!$C$71:$C$790,"&gt;="&amp;'Assumptions &amp; Data'!$C$62)+SUMIFS('Financial Analysis'!$U$71:$U$790,'Financial Analysis'!$B$71:$B$790,$A129,'Financial Analysis'!$C$71:$C$790,"&gt;="&amp;'Assumptions &amp; Data'!$C$62))/SUMIFS('Financial Analysis'!$E$71:$E$790,'Financial Analysis'!$B$71:$B$790,$A129,'Financial Analysis'!$C$71:$C$790,"&gt;="&amp;'Assumptions &amp; Data'!$C$62)</f>
        <v>10.8448512003757</v>
      </c>
      <c r="BX129" s="40" t="n">
        <f aca="false">SUMIFS('Financial Analysis'!$V$71:$V$790,'Financial Analysis'!$B$71:$B$790,$A129,'Financial Analysis'!$C$71:$C$790,"&gt;="&amp;'Assumptions &amp; Data'!$C$62)/SUMIFS('Financial Analysis'!$E$71:$E$790,'Financial Analysis'!$B$71:$B$790,$A129,'Financial Analysis'!$C$71:$C$790,"&gt;="&amp;'Assumptions &amp; Data'!$C$62)</f>
        <v>18.0846922989503</v>
      </c>
      <c r="BY129" s="37" t="n">
        <f aca="false">'Assumptions &amp; Data'!J165</f>
        <v>36</v>
      </c>
      <c r="BZ129" s="39" t="str">
        <f aca="false">IF(BK129="Close",COUNTIF($BK$106:BK129,"Close"),"")</f>
        <v/>
      </c>
    </row>
    <row r="130" customFormat="false" ht="15" hidden="false" customHeight="false" outlineLevel="0" collapsed="false">
      <c r="A130" s="48" t="str">
        <f aca="false">'Assumptions &amp; Data'!A166</f>
        <v>DS025</v>
      </c>
      <c r="B130" s="48" t="str">
        <f aca="false">'Assumptions &amp; Data'!B166</f>
        <v>Mumbai MMR</v>
      </c>
      <c r="C130" s="48" t="str">
        <f aca="false">'Assumptions &amp; Data'!C166</f>
        <v>Commercial / office</v>
      </c>
      <c r="D130" s="37" t="n">
        <f aca="false">'Assumptions &amp; Data'!D166</f>
        <v>22</v>
      </c>
      <c r="E130" s="39" t="n">
        <f aca="false">SUMIFS('Financial Analysis'!$E$71:$E$790,'Financial Analysis'!$B$71:$B$790,$A130,'Financial Analysis'!$C$71:$C$790,"&gt;="&amp;'Assumptions &amp; Data'!$C$62)/'Assumptions &amp; Data'!$C$63</f>
        <v>1271.1847826087</v>
      </c>
      <c r="F130" s="40" t="n">
        <f aca="false">SUMIFS('Financial Analysis'!$H$71:$H$790,'Financial Analysis'!$B$71:$B$790,$A130,'Financial Analysis'!$C$71:$C$790,"&gt;="&amp;'Assumptions &amp; Data'!$C$62)/'Assumptions &amp; Data'!$C$85/100000</f>
        <v>235.7475497643</v>
      </c>
      <c r="G130" s="40" t="n">
        <f aca="false">SUMIFS('Financial Analysis'!$F$71:$F$790,'Financial Analysis'!$B$71:$B$790,$A130,'Financial Analysis'!$C$71:$C$790,"&gt;="&amp;'Assumptions &amp; Data'!$C$62)/SUMIFS('Financial Analysis'!$E$71:$E$790,'Financial Analysis'!$B$71:$B$790,$A130,'Financial Analysis'!$C$71:$C$790,"&gt;="&amp;'Assumptions &amp; Data'!$C$62)</f>
        <v>639.803056888045</v>
      </c>
      <c r="H130" s="49" t="n">
        <f aca="false">SUMIFS('Financial Analysis'!$G$71:$G$790,'Financial Analysis'!$B$71:$B$790,$A130,'Financial Analysis'!$C$71:$C$790,"&gt;="&amp;'Assumptions &amp; Data'!$C$62)/SUMIFS('Financial Analysis'!$F$71:$F$790,'Financial Analysis'!$B$71:$B$790,$A130,'Financial Analysis'!$C$71:$C$790,"&gt;="&amp;'Assumptions &amp; Data'!$C$62)</f>
        <v>0.0547958517869851</v>
      </c>
      <c r="I130" s="49" t="n">
        <f aca="false">SUMIFS('Financial Analysis'!$L$71:$L$790,'Financial Analysis'!$B$71:$B$790,$A130,'Financial Analysis'!$C$71:$C$790,"&gt;="&amp;'Assumptions &amp; Data'!$C$62)/SUMIFS('Financial Analysis'!$H$71:$H$790,'Financial Analysis'!$B$71:$B$790,$A130,'Financial Analysis'!$C$71:$C$790,"&gt;="&amp;'Assumptions &amp; Data'!$C$62)</f>
        <v>0.0173339780231275</v>
      </c>
      <c r="J130" s="40" t="n">
        <f aca="false">SUMIFS('Financial Analysis'!$N$71:$N$790,'Financial Analysis'!$B$71:$B$790,$A130,'Financial Analysis'!$C$71:$C$790,"&gt;="&amp;'Assumptions &amp; Data'!$C$62)/SUMIFS('Financial Analysis'!$E$71:$E$790,'Financial Analysis'!$B$71:$B$790,$A130,'Financial Analysis'!$C$71:$C$790,"&gt;="&amp;'Assumptions &amp; Data'!$C$62)</f>
        <v>43.6750298848216</v>
      </c>
      <c r="K130" s="40" t="n">
        <f aca="false">SUMIFS('Financial Analysis'!$R$71:$R$790,'Financial Analysis'!$B$71:$B$790,$A130,'Financial Analysis'!$C$71:$C$790,"&gt;="&amp;'Assumptions &amp; Data'!$C$62)/AVERAGEIFS('Assumptions &amp; Data'!$M$205:$M$924,'Assumptions &amp; Data'!$B$205:$B$924,$A130,'Assumptions &amp; Data'!$C$205:$C$924,"&gt;="&amp;'Assumptions &amp; Data'!$C$62)/'Assumptions &amp; Data'!$C$85</f>
        <v>29.334539761874</v>
      </c>
      <c r="L130" s="40" t="n">
        <f aca="false">E130/K130</f>
        <v>43.3340626076858</v>
      </c>
      <c r="M130" s="40" t="n">
        <f aca="false">SUMIFS('Financial Analysis'!$Q$71:$Q$790,'Financial Analysis'!$B$71:$B$790,$A130,'Financial Analysis'!$C$71:$C$790,"&gt;="&amp;'Assumptions &amp; Data'!$C$62)/SUMIFS('Financial Analysis'!$E$71:$E$790,'Financial Analysis'!$B$71:$B$790,$A130,'Financial Analysis'!$C$71:$C$790,"&gt;="&amp;'Assumptions &amp; Data'!$C$62)</f>
        <v>63.4058619016719</v>
      </c>
      <c r="N130" s="40" t="n">
        <f aca="false">SUMIFS('Financial Analysis'!$Y$71:$Y$790,'Financial Analysis'!$B$71:$B$790,$A130,'Financial Analysis'!$C$71:$C$790,"&gt;="&amp;'Assumptions &amp; Data'!$C$62)/'Assumptions &amp; Data'!$C$85/100000</f>
        <v>23.4693466666667</v>
      </c>
      <c r="O130" s="40" t="n">
        <f aca="false">SUMIFS('Financial Analysis'!$V$71:$V$790,'Financial Analysis'!$B$71:$B$790,$A130,'Financial Analysis'!$C$71:$C$790,"&gt;="&amp;'Assumptions &amp; Data'!$C$62)/'Assumptions &amp; Data'!$C$85/100000</f>
        <v>1.24816047846209</v>
      </c>
      <c r="P130" s="49" t="n">
        <f aca="false">O130/F130</f>
        <v>0.00529447911424743</v>
      </c>
      <c r="Q130" s="39" t="n">
        <f aca="false">IF(M130&gt;0,N130*100000/(M130*'Assumptions &amp; Data'!$C$63/'Assumptions &amp; Data'!$C$85),9999)</f>
        <v>1206.99373789053</v>
      </c>
      <c r="R130" s="49" t="n">
        <f aca="false">E130/Q130-1</f>
        <v>0.0531825830599217</v>
      </c>
      <c r="S130" s="50" t="n">
        <f aca="false">'Assumptions &amp; Data'!E166</f>
        <v>51.3</v>
      </c>
      <c r="T130" s="50" t="n">
        <f aca="false">'Assumptions &amp; Data'!G166</f>
        <v>2.4</v>
      </c>
      <c r="U130" s="49" t="n">
        <f aca="false">MAX(0,('Assumptions &amp; Data'!$C$72-T130)/'Assumptions &amp; Data'!$C$72)*'Assumptions &amp; Data'!$C$73</f>
        <v>0</v>
      </c>
      <c r="V130" s="39" t="n">
        <f aca="false">S130*$B$6*(1-U130)</f>
        <v>1827.3842691897</v>
      </c>
      <c r="W130" s="49" t="n">
        <f aca="false">V130/E130-1</f>
        <v>0.437544166820175</v>
      </c>
      <c r="X130" s="39" t="n">
        <f aca="false">IF(D130&gt;='Assumptions &amp; Data'!$C$64,1,0)</f>
        <v>1</v>
      </c>
      <c r="Y130" s="40" t="n">
        <f aca="false">IF(AND(X130=1,T130&gt;='Assumptions &amp; Data'!$C$72),E130/S130,"")</f>
        <v>24.7794304602085</v>
      </c>
      <c r="Z130" s="49" t="n">
        <f aca="false">IF(X130=1,H130,"")</f>
        <v>0.0547958517869851</v>
      </c>
      <c r="AA130" s="49" t="n">
        <f aca="false">IF(X130=1,I130,"")</f>
        <v>0.0173339780231275</v>
      </c>
      <c r="AB130" s="40" t="n">
        <f aca="false">IF(X130=1,J130,"")</f>
        <v>43.6750298848216</v>
      </c>
      <c r="AC130" s="40" t="n">
        <f aca="false">IF(X130=1,L130,"")</f>
        <v>43.3340626076858</v>
      </c>
      <c r="AD130" s="40" t="n">
        <f aca="false">IF(X130=1,AP130/E130*100,"")</f>
        <v>314.667077101985</v>
      </c>
      <c r="AE130" s="40" t="n">
        <f aca="false">IF(X130=1,M130,"")</f>
        <v>63.4058619016719</v>
      </c>
      <c r="AF130" s="40" t="n">
        <f aca="false">E130*'Assumptions &amp; Data'!$C$63/'Assumptions &amp; Data'!$C$85*G130/100000</f>
        <v>249.414425666667</v>
      </c>
      <c r="AG130" s="49" t="n">
        <f aca="false">MAX(0,H130-$B$7)</f>
        <v>0</v>
      </c>
      <c r="AH130" s="40" t="n">
        <f aca="false">AG130*AF130</f>
        <v>0</v>
      </c>
      <c r="AI130" s="40" t="n">
        <f aca="false">AG130*100*E130*'Assumptions &amp; Data'!$C$63/'Assumptions &amp; Data'!$C$85*M130/100000</f>
        <v>0</v>
      </c>
      <c r="AJ130" s="49" t="n">
        <f aca="false">MAX(0,I130-$B$8)</f>
        <v>0</v>
      </c>
      <c r="AK130" s="40" t="n">
        <f aca="false">AJ130*F130</f>
        <v>0</v>
      </c>
      <c r="AL130" s="40" t="n">
        <f aca="false">MAX(0,K130-E130/$B$10)</f>
        <v>0</v>
      </c>
      <c r="AM130" s="40" t="n">
        <f aca="false">AL130*BN130/K130</f>
        <v>0</v>
      </c>
      <c r="AN130" s="40" t="n">
        <f aca="false">MAX(0,J130-$B$9)</f>
        <v>5.46887328836083</v>
      </c>
      <c r="AO130" s="40" t="n">
        <f aca="false">AN130*E130*'Assumptions &amp; Data'!$C$63/'Assumptions &amp; Data'!$C$85/100000</f>
        <v>2.1319308740017</v>
      </c>
      <c r="AP130" s="37" t="n">
        <f aca="false">'Assumptions &amp; Data'!H166</f>
        <v>4000</v>
      </c>
      <c r="AQ130" s="39" t="n">
        <f aca="false">MIN(AP130,$B$11*E130/100)</f>
        <v>4000</v>
      </c>
      <c r="AR130" s="39" t="n">
        <f aca="false">IF(AP130-AQ130&gt;'Assumptions &amp; Data'!$C$78*AP130,AP130-AQ130,0)</f>
        <v>0</v>
      </c>
      <c r="AS130" s="50" t="n">
        <f aca="false">'Assumptions &amp; Data'!I166</f>
        <v>318</v>
      </c>
      <c r="AT130" s="40" t="n">
        <f aca="false">INDEX('Assumptions &amp; Data'!$B$89:$E$94,MATCH(B130,'Assumptions &amp; Data'!$A$89:$A$94,0),MATCH(C130,'Assumptions &amp; Data'!$B$88:$E$88,0))</f>
        <v>242</v>
      </c>
      <c r="AU130" s="39" t="n">
        <f aca="false">IF(BY130&lt;='Assumptions &amp; Data'!$C$79,1,0)</f>
        <v>1</v>
      </c>
      <c r="AV130" s="40" t="n">
        <f aca="false">AU130*(AR130*AS130+MAX(0,AS130-AT130)*(AP130-AR130))/100000</f>
        <v>3.04</v>
      </c>
      <c r="AW130" s="40" t="n">
        <f aca="false">'Assumptions &amp; Data'!$C$67*(AH130-'Assumptions &amp; Data'!$C$68*AI130+AK130+AM130+AO130+AV130)</f>
        <v>3.10315852440102</v>
      </c>
      <c r="AX130" s="40" t="n">
        <f aca="false">O130+AW130</f>
        <v>4.35131900286311</v>
      </c>
      <c r="AY130" s="49" t="n">
        <f aca="false">IF(D130&lt;'Assumptions &amp; Data'!$C$64,'Assumptions &amp; Data'!$C$70,'Assumptions &amp; Data'!$C$69)</f>
        <v>0.5</v>
      </c>
      <c r="AZ130" s="40" t="n">
        <f aca="false">AY130*MAX(0,V130-E130)*'Assumptions &amp; Data'!$C$63/'Assumptions &amp; Data'!$C$85*(M130-'Assumptions &amp; Data'!$C$71)/100000</f>
        <v>4.554661322086</v>
      </c>
      <c r="BA130" s="40" t="n">
        <f aca="false">AX130+AZ130</f>
        <v>8.90598032494912</v>
      </c>
      <c r="BB130" s="40" t="n">
        <f aca="false">BA130+(1-'Assumptions &amp; Data'!$C$67)*AV130</f>
        <v>10.1219803249491</v>
      </c>
      <c r="BC130" s="48" t="str">
        <f aca="false">'Assumptions &amp; Data'!F166</f>
        <v>DS023</v>
      </c>
      <c r="BD130" s="39" t="n">
        <f aca="false">INDEX('Assumptions &amp; Data'!$K$142:$K$201,MATCH(BC130,'Assumptions &amp; Data'!$A$142:$A$201,0))*'Assumptions &amp; Data'!$C$77</f>
        <v>1134</v>
      </c>
      <c r="BE130" s="39" t="n">
        <f aca="false">MAX(0,BD130-INDEX($E$106:$E$165,MATCH(BC130,$A$106:$A$165,0)))</f>
        <v>0</v>
      </c>
      <c r="BF130" s="39" t="n">
        <f aca="false">IF(T130&lt;='Assumptions &amp; Data'!$C$74,MIN('Assumptions &amp; Data'!$C$76*E130,BE130),0)</f>
        <v>0</v>
      </c>
      <c r="BG130" s="40" t="n">
        <f aca="false">-O130+BF130*'Assumptions &amp; Data'!$C$63/'Assumptions &amp; Data'!$C$85*($B$12-'Assumptions &amp; Data'!$C$71)/100000</f>
        <v>-1.24816047846209</v>
      </c>
      <c r="BH130" s="40" t="n">
        <f aca="false">(AS130*AP130*BY130*'Assumptions &amp; Data'!$C$82+K130*(BN130*100000/K130)*'Assumptions &amp; Data'!$C$80*(1-'Assumptions &amp; Data'!$C$81)+AP130*'Assumptions &amp; Data'!$C$83)/100000</f>
        <v>87.247428</v>
      </c>
      <c r="BI130" s="40" t="n">
        <f aca="false">'Assumptions &amp; Data'!L166*MAX(0,1-D130/'Assumptions &amp; Data'!$C$84)</f>
        <v>100.380952380952</v>
      </c>
      <c r="BJ130" s="40" t="n">
        <f aca="false">IF(BG130&gt;0,BH130/BG130,99)</f>
        <v>99</v>
      </c>
      <c r="BK130" s="2" t="str">
        <f aca="false">IF(AND(P130&gt;='Assumptions &amp; Data'!$C$65,R130&gt;=0,W130&gt;='Assumptions &amp; Data'!$C$66),"Scale",IF(OR(O130&gt;=0,AX130&gt;=0),"Optimise",IF(BA130&gt;=0,"Turn around",IF(BB130&gt;=0,"Relocate or resize",IF(AND(BF130&gt;0,BJ130&lt;='Assumptions &amp; Data'!$C$75,D130&gt;='Assumptions &amp; Data'!$C$64),"Close","Relocate or resize")))))</f>
        <v>Optimise</v>
      </c>
      <c r="BL130" s="42" t="str">
        <f aca="false">INDEX($BK$106:$BK$165,MATCH(BC130,$A$106:$A$165,0))</f>
        <v>Optimise</v>
      </c>
      <c r="BM130" s="42" t="str">
        <f aca="false">IF(RANK(P130,$P$106:$P$165)&lt;=ROUND(COUNT($P$106:$P$165)/4,0),"Q1 top",IF(RANK(P130,$P$106:$P$165)&gt;COUNT($P$106:$P$165)-ROUND(COUNT($P$106:$P$165)/4,0),"Q4 bottom","Q2-Q3 middle"))</f>
        <v>Q2-Q3 middle</v>
      </c>
      <c r="BN130" s="40" t="n">
        <f aca="false">SUMIFS('Financial Analysis'!$R$71:$R$790,'Financial Analysis'!$B$71:$B$790,$A130,'Financial Analysis'!$C$71:$C$790,"&gt;="&amp;'Assumptions &amp; Data'!$C$62)/'Assumptions &amp; Data'!$C$85/100000</f>
        <v>6.80825333333333</v>
      </c>
      <c r="BO130" s="40" t="n">
        <f aca="false">SUMIFS('Financial Analysis'!$H$71:$H$790,'Financial Analysis'!$B$71:$B$790,$A130,'Financial Analysis'!$C$71:$C$790,"&gt;="&amp;'Assumptions &amp; Data'!$C$62)/SUMIFS('Financial Analysis'!$E$71:$E$790,'Financial Analysis'!$B$71:$B$790,$A130,'Financial Analysis'!$C$71:$C$790,"&gt;="&amp;'Assumptions &amp; Data'!$C$62)</f>
        <v>604.744503409948</v>
      </c>
      <c r="BP130" s="40" t="n">
        <f aca="false">(SUMIFS('Financial Analysis'!$I$71:$I$790,'Financial Analysis'!$B$71:$B$790,$A130,'Financial Analysis'!$C$71:$C$790,"&gt;="&amp;'Assumptions &amp; Data'!$C$62)+SUMIFS('Financial Analysis'!$J$71:$J$790,'Financial Analysis'!$B$71:$B$790,$A130,'Financial Analysis'!$C$71:$C$790,"&gt;="&amp;'Assumptions &amp; Data'!$C$62)+SUMIFS('Financial Analysis'!$K$71:$K$790,'Financial Analysis'!$B$71:$B$790,$A130,'Financial Analysis'!$C$71:$C$790,"&gt;="&amp;'Assumptions &amp; Data'!$C$62))/SUMIFS('Financial Analysis'!$E$71:$E$790,'Financial Analysis'!$B$71:$B$790,$A130,'Financial Analysis'!$C$71:$C$790,"&gt;="&amp;'Assumptions &amp; Data'!$C$62)</f>
        <v>134.620504893046</v>
      </c>
      <c r="BQ130" s="40" t="n">
        <f aca="false">SUMIFS('Financial Analysis'!$L$71:$L$790,'Financial Analysis'!$B$71:$B$790,$A130,'Financial Analysis'!$C$71:$C$790,"&gt;="&amp;'Assumptions &amp; Data'!$C$62)/SUMIFS('Financial Analysis'!$E$71:$E$790,'Financial Analysis'!$B$71:$B$790,$A130,'Financial Analysis'!$C$71:$C$790,"&gt;="&amp;'Assumptions &amp; Data'!$C$62)</f>
        <v>10.4826279317152</v>
      </c>
      <c r="BR130" s="40" t="n">
        <f aca="false">SUMIFS('Financial Analysis'!$L$71:$L$790,'Financial Analysis'!$B$71:$B$790,$A130,'Financial Analysis'!$C$71:$C$790,"&gt;="&amp;'Assumptions &amp; Data'!$C$62)/SUMIFS('Financial Analysis'!$E$71:$E$790,'Financial Analysis'!$B$71:$B$790,$A130,'Financial Analysis'!$C$71:$C$790,"&gt;="&amp;'Assumptions &amp; Data'!$C$62)</f>
        <v>10.4826279317152</v>
      </c>
      <c r="BS130" s="40" t="n">
        <f aca="false">SUMIFS('Financial Analysis'!$N$71:$N$790,'Financial Analysis'!$B$71:$B$790,$A130,'Financial Analysis'!$C$71:$C$790,"&gt;="&amp;'Assumptions &amp; Data'!$C$62)/SUMIFS('Financial Analysis'!$E$71:$E$790,'Financial Analysis'!$B$71:$B$790,$A130,'Financial Analysis'!$C$71:$C$790,"&gt;="&amp;'Assumptions &amp; Data'!$C$62)</f>
        <v>43.6750298848216</v>
      </c>
      <c r="BT130" s="40" t="n">
        <f aca="false">(SUMIFS('Financial Analysis'!$O$71:$O$790,'Financial Analysis'!$B$71:$B$790,$A130,'Financial Analysis'!$C$71:$C$790,"&gt;="&amp;'Assumptions &amp; Data'!$C$62)+SUMIFS('Financial Analysis'!$P$71:$P$790,'Financial Analysis'!$B$71:$B$790,$A130,'Financial Analysis'!$C$71:$C$790,"&gt;="&amp;'Assumptions &amp; Data'!$C$62))/SUMIFS('Financial Analysis'!$E$71:$E$790,'Financial Analysis'!$B$71:$B$790,$A130,'Financial Analysis'!$C$71:$C$790,"&gt;="&amp;'Assumptions &amp; Data'!$C$62)</f>
        <v>17.0569851748378</v>
      </c>
      <c r="BU130" s="40" t="n">
        <f aca="false">SUMIFS('Financial Analysis'!$R$71:$R$790,'Financial Analysis'!$B$71:$B$790,$A130,'Financial Analysis'!$C$71:$C$790,"&gt;="&amp;'Assumptions &amp; Data'!$C$62)/SUMIFS('Financial Analysis'!$E$71:$E$790,'Financial Analysis'!$B$71:$B$790,$A130,'Financial Analysis'!$C$71:$C$790,"&gt;="&amp;'Assumptions &amp; Data'!$C$62)</f>
        <v>17.4646726350802</v>
      </c>
      <c r="BV130" s="40" t="n">
        <f aca="false">SUMIFS('Financial Analysis'!$S$71:$S$790,'Financial Analysis'!$B$71:$B$790,$A130,'Financial Analysis'!$C$71:$C$790,"&gt;="&amp;'Assumptions &amp; Data'!$C$62)/SUMIFS('Financial Analysis'!$E$71:$E$790,'Financial Analysis'!$B$71:$B$790,$A130,'Financial Analysis'!$C$71:$C$790,"&gt;="&amp;'Assumptions &amp; Data'!$C$62)</f>
        <v>32.6296077777493</v>
      </c>
      <c r="BW130" s="40" t="n">
        <f aca="false">(SUMIFS('Financial Analysis'!$T$71:$T$790,'Financial Analysis'!$B$71:$B$790,$A130,'Financial Analysis'!$C$71:$C$790,"&gt;="&amp;'Assumptions &amp; Data'!$C$62)+SUMIFS('Financial Analysis'!$U$71:$U$790,'Financial Analysis'!$B$71:$B$790,$A130,'Financial Analysis'!$C$71:$C$790,"&gt;="&amp;'Assumptions &amp; Data'!$C$62))/SUMIFS('Financial Analysis'!$E$71:$E$790,'Financial Analysis'!$B$71:$B$790,$A130,'Financial Analysis'!$C$71:$C$790,"&gt;="&amp;'Assumptions &amp; Data'!$C$62)</f>
        <v>10.1097743460825</v>
      </c>
      <c r="BX130" s="40" t="n">
        <f aca="false">SUMIFS('Financial Analysis'!$V$71:$V$790,'Financial Analysis'!$B$71:$B$790,$A130,'Financial Analysis'!$C$71:$C$790,"&gt;="&amp;'Assumptions &amp; Data'!$C$62)/SUMIFS('Financial Analysis'!$E$71:$E$790,'Financial Analysis'!$B$71:$B$790,$A130,'Financial Analysis'!$C$71:$C$790,"&gt;="&amp;'Assumptions &amp; Data'!$C$62)</f>
        <v>3.2018071427599</v>
      </c>
      <c r="BY130" s="37" t="n">
        <f aca="false">'Assumptions &amp; Data'!J166</f>
        <v>12</v>
      </c>
      <c r="BZ130" s="39" t="str">
        <f aca="false">IF(BK130="Close",COUNTIF($BK$106:BK130,"Close"),"")</f>
        <v/>
      </c>
    </row>
    <row r="131" customFormat="false" ht="15" hidden="false" customHeight="false" outlineLevel="0" collapsed="false">
      <c r="A131" s="48" t="str">
        <f aca="false">'Assumptions &amp; Data'!A167</f>
        <v>DS026</v>
      </c>
      <c r="B131" s="48" t="str">
        <f aca="false">'Assumptions &amp; Data'!B167</f>
        <v>Mumbai MMR</v>
      </c>
      <c r="C131" s="48" t="str">
        <f aca="false">'Assumptions &amp; Data'!C167</f>
        <v>Mixed use</v>
      </c>
      <c r="D131" s="37" t="n">
        <f aca="false">'Assumptions &amp; Data'!D167</f>
        <v>18</v>
      </c>
      <c r="E131" s="39" t="n">
        <f aca="false">SUMIFS('Financial Analysis'!$E$71:$E$790,'Financial Analysis'!$B$71:$B$790,$A131,'Financial Analysis'!$C$71:$C$790,"&gt;="&amp;'Assumptions &amp; Data'!$C$62)/'Assumptions &amp; Data'!$C$63</f>
        <v>729.119565217391</v>
      </c>
      <c r="F131" s="40" t="n">
        <f aca="false">SUMIFS('Financial Analysis'!$H$71:$H$790,'Financial Analysis'!$B$71:$B$790,$A131,'Financial Analysis'!$C$71:$C$790,"&gt;="&amp;'Assumptions &amp; Data'!$C$62)/'Assumptions &amp; Data'!$C$85/100000</f>
        <v>142.089053251067</v>
      </c>
      <c r="G131" s="40" t="n">
        <f aca="false">SUMIFS('Financial Analysis'!$F$71:$F$790,'Financial Analysis'!$B$71:$B$790,$A131,'Financial Analysis'!$C$71:$C$790,"&gt;="&amp;'Assumptions &amp; Data'!$C$62)/SUMIFS('Financial Analysis'!$E$71:$E$790,'Financial Analysis'!$B$71:$B$790,$A131,'Financial Analysis'!$C$71:$C$790,"&gt;="&amp;'Assumptions &amp; Data'!$C$62)</f>
        <v>682.597869676054</v>
      </c>
      <c r="H131" s="49" t="n">
        <f aca="false">SUMIFS('Financial Analysis'!$G$71:$G$790,'Financial Analysis'!$B$71:$B$790,$A131,'Financial Analysis'!$C$71:$C$790,"&gt;="&amp;'Assumptions &amp; Data'!$C$62)/SUMIFS('Financial Analysis'!$F$71:$F$790,'Financial Analysis'!$B$71:$B$790,$A131,'Financial Analysis'!$C$71:$C$790,"&gt;="&amp;'Assumptions &amp; Data'!$C$62)</f>
        <v>0.0690414023959234</v>
      </c>
      <c r="I131" s="49" t="n">
        <f aca="false">SUMIFS('Financial Analysis'!$L$71:$L$790,'Financial Analysis'!$B$71:$B$790,$A131,'Financial Analysis'!$C$71:$C$790,"&gt;="&amp;'Assumptions &amp; Data'!$C$62)/SUMIFS('Financial Analysis'!$H$71:$H$790,'Financial Analysis'!$B$71:$B$790,$A131,'Financial Analysis'!$C$71:$C$790,"&gt;="&amp;'Assumptions &amp; Data'!$C$62)</f>
        <v>0.0191562401161343</v>
      </c>
      <c r="J131" s="40" t="n">
        <f aca="false">SUMIFS('Financial Analysis'!$N$71:$N$790,'Financial Analysis'!$B$71:$B$790,$A131,'Financial Analysis'!$C$71:$C$790,"&gt;="&amp;'Assumptions &amp; Data'!$C$62)/SUMIFS('Financial Analysis'!$E$71:$E$790,'Financial Analysis'!$B$71:$B$790,$A131,'Financial Analysis'!$C$71:$C$790,"&gt;="&amp;'Assumptions &amp; Data'!$C$62)</f>
        <v>46.4804150330208</v>
      </c>
      <c r="K131" s="40" t="n">
        <f aca="false">SUMIFS('Financial Analysis'!$R$71:$R$790,'Financial Analysis'!$B$71:$B$790,$A131,'Financial Analysis'!$C$71:$C$790,"&gt;="&amp;'Assumptions &amp; Data'!$C$62)/AVERAGEIFS('Assumptions &amp; Data'!$M$205:$M$924,'Assumptions &amp; Data'!$B$205:$B$924,$A131,'Assumptions &amp; Data'!$C$205:$C$924,"&gt;="&amp;'Assumptions &amp; Data'!$C$62)/'Assumptions &amp; Data'!$C$85</f>
        <v>18.6675714880722</v>
      </c>
      <c r="L131" s="40" t="n">
        <f aca="false">E131/K131</f>
        <v>39.0580834621831</v>
      </c>
      <c r="M131" s="40" t="n">
        <f aca="false">SUMIFS('Financial Analysis'!$Q$71:$Q$790,'Financial Analysis'!$B$71:$B$790,$A131,'Financial Analysis'!$C$71:$C$790,"&gt;="&amp;'Assumptions &amp; Data'!$C$62)/SUMIFS('Financial Analysis'!$E$71:$E$790,'Financial Analysis'!$B$71:$B$790,$A131,'Financial Analysis'!$C$71:$C$790,"&gt;="&amp;'Assumptions &amp; Data'!$C$62)</f>
        <v>61.949173285269</v>
      </c>
      <c r="N131" s="40" t="n">
        <f aca="false">SUMIFS('Financial Analysis'!$Y$71:$Y$790,'Financial Analysis'!$B$71:$B$790,$A131,'Financial Analysis'!$C$71:$C$790,"&gt;="&amp;'Assumptions &amp; Data'!$C$62)/'Assumptions &amp; Data'!$C$85/100000</f>
        <v>19.7914</v>
      </c>
      <c r="O131" s="40" t="n">
        <f aca="false">SUMIFS('Financial Analysis'!$V$71:$V$790,'Financial Analysis'!$B$71:$B$790,$A131,'Financial Analysis'!$C$71:$C$790,"&gt;="&amp;'Assumptions &amp; Data'!$C$62)/'Assumptions &amp; Data'!$C$85/100000</f>
        <v>-5.93977135065813</v>
      </c>
      <c r="P131" s="49" t="n">
        <f aca="false">O131/F131</f>
        <v>-0.0418031594605867</v>
      </c>
      <c r="Q131" s="39" t="n">
        <f aca="false">IF(M131&gt;0,N131*100000/(M131*'Assumptions &amp; Data'!$C$63/'Assumptions &amp; Data'!$C$85),9999)</f>
        <v>1041.7761931359</v>
      </c>
      <c r="R131" s="49" t="n">
        <f aca="false">E131/Q131-1</f>
        <v>-0.300118806686649</v>
      </c>
      <c r="S131" s="50" t="n">
        <f aca="false">'Assumptions &amp; Data'!E167</f>
        <v>26.7</v>
      </c>
      <c r="T131" s="50" t="n">
        <f aca="false">'Assumptions &amp; Data'!G167</f>
        <v>2.7</v>
      </c>
      <c r="U131" s="49" t="n">
        <f aca="false">MAX(0,('Assumptions &amp; Data'!$C$72-T131)/'Assumptions &amp; Data'!$C$72)*'Assumptions &amp; Data'!$C$73</f>
        <v>0</v>
      </c>
      <c r="V131" s="39" t="n">
        <f aca="false">S131*$B$6*(1-U131)</f>
        <v>951.09473659581</v>
      </c>
      <c r="W131" s="49" t="n">
        <f aca="false">V131/E131-1</f>
        <v>0.304442758043718</v>
      </c>
      <c r="X131" s="39" t="n">
        <f aca="false">IF(D131&gt;='Assumptions &amp; Data'!$C$64,1,0)</f>
        <v>1</v>
      </c>
      <c r="Y131" s="40" t="n">
        <f aca="false">IF(AND(X131=1,T131&gt;='Assumptions &amp; Data'!$C$72),E131/S131,"")</f>
        <v>27.3078488845465</v>
      </c>
      <c r="Z131" s="49" t="n">
        <f aca="false">IF(X131=1,H131,"")</f>
        <v>0.0690414023959234</v>
      </c>
      <c r="AA131" s="49" t="n">
        <f aca="false">IF(X131=1,I131,"")</f>
        <v>0.0191562401161343</v>
      </c>
      <c r="AB131" s="40" t="n">
        <f aca="false">IF(X131=1,J131,"")</f>
        <v>46.4804150330208</v>
      </c>
      <c r="AC131" s="40" t="n">
        <f aca="false">IF(X131=1,L131,"")</f>
        <v>39.0580834621831</v>
      </c>
      <c r="AD131" s="40" t="n">
        <f aca="false">IF(X131=1,AP131/E131*100,"")</f>
        <v>617.182724846823</v>
      </c>
      <c r="AE131" s="40" t="n">
        <f aca="false">IF(X131=1,M131,"")</f>
        <v>61.949173285269</v>
      </c>
      <c r="AF131" s="40" t="n">
        <f aca="false">E131*'Assumptions &amp; Data'!$C$63/'Assumptions &amp; Data'!$C$85*G131/100000</f>
        <v>152.626608333333</v>
      </c>
      <c r="AG131" s="49" t="n">
        <f aca="false">MAX(0,H131-$B$7)</f>
        <v>0.0142363023926666</v>
      </c>
      <c r="AH131" s="40" t="n">
        <f aca="false">AG131*AF131</f>
        <v>2.17283854940043</v>
      </c>
      <c r="AI131" s="40" t="n">
        <f aca="false">AG131*100*E131*'Assumptions &amp; Data'!$C$63/'Assumptions &amp; Data'!$C$85*M131/100000</f>
        <v>19.7195974082955</v>
      </c>
      <c r="AJ131" s="49" t="n">
        <f aca="false">MAX(0,I131-$B$8)</f>
        <v>0</v>
      </c>
      <c r="AK131" s="40" t="n">
        <f aca="false">AJ131*F131</f>
        <v>0</v>
      </c>
      <c r="AL131" s="40" t="n">
        <f aca="false">MAX(0,K131-E131/$B$10)</f>
        <v>0</v>
      </c>
      <c r="AM131" s="40" t="n">
        <f aca="false">AL131*BN131/K131</f>
        <v>0</v>
      </c>
      <c r="AN131" s="40" t="n">
        <f aca="false">MAX(0,J131-$B$9)</f>
        <v>8.27425843656</v>
      </c>
      <c r="AO131" s="40" t="n">
        <f aca="false">AN131*E131*'Assumptions &amp; Data'!$C$63/'Assumptions &amp; Data'!$C$85/100000</f>
        <v>1.85009660555336</v>
      </c>
      <c r="AP131" s="37" t="n">
        <f aca="false">'Assumptions &amp; Data'!H167</f>
        <v>4500</v>
      </c>
      <c r="AQ131" s="39" t="n">
        <f aca="false">MIN(AP131,$B$11*E131/100)</f>
        <v>2801.54600740507</v>
      </c>
      <c r="AR131" s="39" t="n">
        <f aca="false">IF(AP131-AQ131&gt;'Assumptions &amp; Data'!$C$78*AP131,AP131-AQ131,0)</f>
        <v>1698.45399259493</v>
      </c>
      <c r="AS131" s="50" t="n">
        <f aca="false">'Assumptions &amp; Data'!I167</f>
        <v>271</v>
      </c>
      <c r="AT131" s="40" t="n">
        <f aca="false">INDEX('Assumptions &amp; Data'!$B$89:$E$94,MATCH(B131,'Assumptions &amp; Data'!$A$89:$A$94,0),MATCH(C131,'Assumptions &amp; Data'!$B$88:$E$88,0))</f>
        <v>213</v>
      </c>
      <c r="AU131" s="39" t="n">
        <f aca="false">IF(BY131&lt;='Assumptions &amp; Data'!$C$79,1,0)</f>
        <v>0</v>
      </c>
      <c r="AV131" s="40" t="n">
        <f aca="false">AU131*(AR131*AS131+MAX(0,AS131-AT131)*(AP131-AR131))/100000</f>
        <v>0</v>
      </c>
      <c r="AW131" s="40" t="n">
        <f aca="false">'Assumptions &amp; Data'!$C$67*(AH131-'Assumptions &amp; Data'!$C$68*AI131+AK131+AM131+AO131+AV131)</f>
        <v>2.2954435085225</v>
      </c>
      <c r="AX131" s="40" t="n">
        <f aca="false">O131+AW131</f>
        <v>-3.64432784213563</v>
      </c>
      <c r="AY131" s="49" t="n">
        <f aca="false">IF(D131&lt;'Assumptions &amp; Data'!$C$64,'Assumptions &amp; Data'!$C$70,'Assumptions &amp; Data'!$C$69)</f>
        <v>0.5</v>
      </c>
      <c r="AZ131" s="40" t="n">
        <f aca="false">AY131*MAX(0,V131-E131)*'Assumptions &amp; Data'!$C$63/'Assumptions &amp; Data'!$C$85*(M131-'Assumptions &amp; Data'!$C$71)/100000</f>
        <v>1.7681520852546</v>
      </c>
      <c r="BA131" s="40" t="n">
        <f aca="false">AX131+AZ131</f>
        <v>-1.87617575688103</v>
      </c>
      <c r="BB131" s="40" t="n">
        <f aca="false">BA131+(1-'Assumptions &amp; Data'!$C$67)*AV131</f>
        <v>-1.87617575688103</v>
      </c>
      <c r="BC131" s="48" t="str">
        <f aca="false">'Assumptions &amp; Data'!F167</f>
        <v>DS015</v>
      </c>
      <c r="BD131" s="39" t="n">
        <f aca="false">INDEX('Assumptions &amp; Data'!$K$142:$K$201,MATCH(BC131,'Assumptions &amp; Data'!$A$142:$A$201,0))*'Assumptions &amp; Data'!$C$77</f>
        <v>1296</v>
      </c>
      <c r="BE131" s="39" t="n">
        <f aca="false">MAX(0,BD131-INDEX($E$106:$E$165,MATCH(BC131,$A$106:$A$165,0)))</f>
        <v>955.663043478261</v>
      </c>
      <c r="BF131" s="39" t="n">
        <f aca="false">IF(T131&lt;='Assumptions &amp; Data'!$C$74,MIN('Assumptions &amp; Data'!$C$76*E131,BE131),0)</f>
        <v>0</v>
      </c>
      <c r="BG131" s="40" t="n">
        <f aca="false">-O131+BF131*'Assumptions &amp; Data'!$C$63/'Assumptions &amp; Data'!$C$85*($B$12-'Assumptions &amp; Data'!$C$71)/100000</f>
        <v>5.93977135065813</v>
      </c>
      <c r="BH131" s="40" t="n">
        <f aca="false">(AS131*AP131*BY131*'Assumptions &amp; Data'!$C$82+K131*(BN131*100000/K131)*'Assumptions &amp; Data'!$C$80*(1-'Assumptions &amp; Data'!$C$81)+AP131*'Assumptions &amp; Data'!$C$83)/100000</f>
        <v>119.054301</v>
      </c>
      <c r="BI131" s="40" t="n">
        <f aca="false">'Assumptions &amp; Data'!L167*MAX(0,1-D131/'Assumptions &amp; Data'!$C$84)</f>
        <v>120.214285714286</v>
      </c>
      <c r="BJ131" s="40" t="n">
        <f aca="false">IF(BG131&gt;0,BH131/BG131,99)</f>
        <v>20.0435831569188</v>
      </c>
      <c r="BK131" s="2" t="str">
        <f aca="false">IF(AND(P131&gt;='Assumptions &amp; Data'!$C$65,R131&gt;=0,W131&gt;='Assumptions &amp; Data'!$C$66),"Scale",IF(OR(O131&gt;=0,AX131&gt;=0),"Optimise",IF(BA131&gt;=0,"Turn around",IF(BB131&gt;=0,"Relocate or resize",IF(AND(BF131&gt;0,BJ131&lt;='Assumptions &amp; Data'!$C$75,D131&gt;='Assumptions &amp; Data'!$C$64),"Close","Relocate or resize")))))</f>
        <v>Relocate or resize</v>
      </c>
      <c r="BL131" s="42" t="str">
        <f aca="false">INDEX($BK$106:$BK$165,MATCH(BC131,$A$106:$A$165,0))</f>
        <v>Turn around</v>
      </c>
      <c r="BM131" s="42" t="str">
        <f aca="false">IF(RANK(P131,$P$106:$P$165)&lt;=ROUND(COUNT($P$106:$P$165)/4,0),"Q1 top",IF(RANK(P131,$P$106:$P$165)&gt;COUNT($P$106:$P$165)-ROUND(COUNT($P$106:$P$165)/4,0),"Q4 bottom","Q2-Q3 middle"))</f>
        <v>Q4 bottom</v>
      </c>
      <c r="BN131" s="40" t="n">
        <f aca="false">SUMIFS('Financial Analysis'!$R$71:$R$790,'Financial Analysis'!$B$71:$B$790,$A131,'Financial Analysis'!$C$71:$C$790,"&gt;="&amp;'Assumptions &amp; Data'!$C$62)/'Assumptions &amp; Data'!$C$85/100000</f>
        <v>4.33255666666667</v>
      </c>
      <c r="BO131" s="40" t="n">
        <f aca="false">SUMIFS('Financial Analysis'!$H$71:$H$790,'Financial Analysis'!$B$71:$B$790,$A131,'Financial Analysis'!$C$71:$C$790,"&gt;="&amp;'Assumptions &amp; Data'!$C$62)/SUMIFS('Financial Analysis'!$E$71:$E$790,'Financial Analysis'!$B$71:$B$790,$A131,'Financial Analysis'!$C$71:$C$790,"&gt;="&amp;'Assumptions &amp; Data'!$C$62)</f>
        <v>635.470355481149</v>
      </c>
      <c r="BP131" s="40" t="n">
        <f aca="false">(SUMIFS('Financial Analysis'!$I$71:$I$790,'Financial Analysis'!$B$71:$B$790,$A131,'Financial Analysis'!$C$71:$C$790,"&gt;="&amp;'Assumptions &amp; Data'!$C$62)+SUMIFS('Financial Analysis'!$J$71:$J$790,'Financial Analysis'!$B$71:$B$790,$A131,'Financial Analysis'!$C$71:$C$790,"&gt;="&amp;'Assumptions &amp; Data'!$C$62)+SUMIFS('Financial Analysis'!$K$71:$K$790,'Financial Analysis'!$B$71:$B$790,$A131,'Financial Analysis'!$C$71:$C$790,"&gt;="&amp;'Assumptions &amp; Data'!$C$62))/SUMIFS('Financial Analysis'!$E$71:$E$790,'Financial Analysis'!$B$71:$B$790,$A131,'Financial Analysis'!$C$71:$C$790,"&gt;="&amp;'Assumptions &amp; Data'!$C$62)</f>
        <v>137.783626187704</v>
      </c>
      <c r="BQ131" s="40" t="n">
        <f aca="false">SUMIFS('Financial Analysis'!$L$71:$L$790,'Financial Analysis'!$B$71:$B$790,$A131,'Financial Analysis'!$C$71:$C$790,"&gt;="&amp;'Assumptions &amp; Data'!$C$62)/SUMIFS('Financial Analysis'!$E$71:$E$790,'Financial Analysis'!$B$71:$B$790,$A131,'Financial Analysis'!$C$71:$C$790,"&gt;="&amp;'Assumptions &amp; Data'!$C$62)</f>
        <v>12.1732227162821</v>
      </c>
      <c r="BR131" s="40" t="n">
        <f aca="false">SUMIFS('Financial Analysis'!$L$71:$L$790,'Financial Analysis'!$B$71:$B$790,$A131,'Financial Analysis'!$C$71:$C$790,"&gt;="&amp;'Assumptions &amp; Data'!$C$62)/SUMIFS('Financial Analysis'!$E$71:$E$790,'Financial Analysis'!$B$71:$B$790,$A131,'Financial Analysis'!$C$71:$C$790,"&gt;="&amp;'Assumptions &amp; Data'!$C$62)</f>
        <v>12.1732227162821</v>
      </c>
      <c r="BS131" s="40" t="n">
        <f aca="false">SUMIFS('Financial Analysis'!$N$71:$N$790,'Financial Analysis'!$B$71:$B$790,$A131,'Financial Analysis'!$C$71:$C$790,"&gt;="&amp;'Assumptions &amp; Data'!$C$62)/SUMIFS('Financial Analysis'!$E$71:$E$790,'Financial Analysis'!$B$71:$B$790,$A131,'Financial Analysis'!$C$71:$C$790,"&gt;="&amp;'Assumptions &amp; Data'!$C$62)</f>
        <v>46.4804150330208</v>
      </c>
      <c r="BT131" s="40" t="n">
        <f aca="false">(SUMIFS('Financial Analysis'!$O$71:$O$790,'Financial Analysis'!$B$71:$B$790,$A131,'Financial Analysis'!$C$71:$C$790,"&gt;="&amp;'Assumptions &amp; Data'!$C$62)+SUMIFS('Financial Analysis'!$P$71:$P$790,'Financial Analysis'!$B$71:$B$790,$A131,'Financial Analysis'!$C$71:$C$790,"&gt;="&amp;'Assumptions &amp; Data'!$C$62))/SUMIFS('Financial Analysis'!$E$71:$E$790,'Financial Analysis'!$B$71:$B$790,$A131,'Financial Analysis'!$C$71:$C$790,"&gt;="&amp;'Assumptions &amp; Data'!$C$62)</f>
        <v>17.1808151531319</v>
      </c>
      <c r="BU131" s="40" t="n">
        <f aca="false">SUMIFS('Financial Analysis'!$R$71:$R$790,'Financial Analysis'!$B$71:$B$790,$A131,'Financial Analysis'!$C$71:$C$790,"&gt;="&amp;'Assumptions &amp; Data'!$C$62)/SUMIFS('Financial Analysis'!$E$71:$E$790,'Financial Analysis'!$B$71:$B$790,$A131,'Financial Analysis'!$C$71:$C$790,"&gt;="&amp;'Assumptions &amp; Data'!$C$62)</f>
        <v>19.3766603557</v>
      </c>
      <c r="BV131" s="40" t="n">
        <f aca="false">SUMIFS('Financial Analysis'!$S$71:$S$790,'Financial Analysis'!$B$71:$B$790,$A131,'Financial Analysis'!$C$71:$C$790,"&gt;="&amp;'Assumptions &amp; Data'!$C$62)/SUMIFS('Financial Analysis'!$E$71:$E$790,'Financial Analysis'!$B$71:$B$790,$A131,'Financial Analysis'!$C$71:$C$790,"&gt;="&amp;'Assumptions &amp; Data'!$C$62)</f>
        <v>54.5401690543986</v>
      </c>
      <c r="BW131" s="40" t="n">
        <f aca="false">(SUMIFS('Financial Analysis'!$T$71:$T$790,'Financial Analysis'!$B$71:$B$790,$A131,'Financial Analysis'!$C$71:$C$790,"&gt;="&amp;'Assumptions &amp; Data'!$C$62)+SUMIFS('Financial Analysis'!$U$71:$U$790,'Financial Analysis'!$B$71:$B$790,$A131,'Financial Analysis'!$C$71:$C$790,"&gt;="&amp;'Assumptions &amp; Data'!$C$62))/SUMIFS('Financial Analysis'!$E$71:$E$790,'Financial Analysis'!$B$71:$B$790,$A131,'Financial Analysis'!$C$71:$C$790,"&gt;="&amp;'Assumptions &amp; Data'!$C$62)</f>
        <v>14.5970124778247</v>
      </c>
      <c r="BX131" s="40" t="n">
        <f aca="false">SUMIFS('Financial Analysis'!$V$71:$V$790,'Financial Analysis'!$B$71:$B$790,$A131,'Financial Analysis'!$C$71:$C$790,"&gt;="&amp;'Assumptions &amp; Data'!$C$62)/SUMIFS('Financial Analysis'!$E$71:$E$790,'Financial Analysis'!$B$71:$B$790,$A131,'Financial Analysis'!$C$71:$C$790,"&gt;="&amp;'Assumptions &amp; Data'!$C$62)</f>
        <v>-26.5646686026542</v>
      </c>
      <c r="BY131" s="37" t="n">
        <f aca="false">'Assumptions &amp; Data'!J167</f>
        <v>18</v>
      </c>
      <c r="BZ131" s="39" t="str">
        <f aca="false">IF(BK131="Close",COUNTIF($BK$106:BK131,"Close"),"")</f>
        <v/>
      </c>
    </row>
    <row r="132" customFormat="false" ht="15" hidden="false" customHeight="false" outlineLevel="0" collapsed="false">
      <c r="A132" s="48" t="str">
        <f aca="false">'Assumptions &amp; Data'!A168</f>
        <v>DS027</v>
      </c>
      <c r="B132" s="48" t="str">
        <f aca="false">'Assumptions &amp; Data'!B168</f>
        <v>Bengaluru</v>
      </c>
      <c r="C132" s="48" t="str">
        <f aca="false">'Assumptions &amp; Data'!C168</f>
        <v>Commercial / office</v>
      </c>
      <c r="D132" s="37" t="n">
        <f aca="false">'Assumptions &amp; Data'!D168</f>
        <v>8</v>
      </c>
      <c r="E132" s="39" t="n">
        <f aca="false">SUMIFS('Financial Analysis'!$E$71:$E$790,'Financial Analysis'!$B$71:$B$790,$A132,'Financial Analysis'!$C$71:$C$790,"&gt;="&amp;'Assumptions &amp; Data'!$C$62)/'Assumptions &amp; Data'!$C$63</f>
        <v>350.978260869565</v>
      </c>
      <c r="F132" s="40" t="n">
        <f aca="false">SUMIFS('Financial Analysis'!$H$71:$H$790,'Financial Analysis'!$B$71:$B$790,$A132,'Financial Analysis'!$C$71:$C$790,"&gt;="&amp;'Assumptions &amp; Data'!$C$62)/'Assumptions &amp; Data'!$C$85/100000</f>
        <v>62.4201621232</v>
      </c>
      <c r="G132" s="40" t="n">
        <f aca="false">SUMIFS('Financial Analysis'!$F$71:$F$790,'Financial Analysis'!$B$71:$B$790,$A132,'Financial Analysis'!$C$71:$C$790,"&gt;="&amp;'Assumptions &amp; Data'!$C$62)/SUMIFS('Financial Analysis'!$E$71:$E$790,'Financial Analysis'!$B$71:$B$790,$A132,'Financial Analysis'!$C$71:$C$790,"&gt;="&amp;'Assumptions &amp; Data'!$C$62)</f>
        <v>629.088739547848</v>
      </c>
      <c r="H132" s="49" t="n">
        <f aca="false">SUMIFS('Financial Analysis'!$G$71:$G$790,'Financial Analysis'!$B$71:$B$790,$A132,'Financial Analysis'!$C$71:$C$790,"&gt;="&amp;'Assumptions &amp; Data'!$C$62)/SUMIFS('Financial Analysis'!$F$71:$F$790,'Financial Analysis'!$B$71:$B$790,$A132,'Financial Analysis'!$C$71:$C$790,"&gt;="&amp;'Assumptions &amp; Data'!$C$62)</f>
        <v>0.078137411706632</v>
      </c>
      <c r="I132" s="49" t="n">
        <f aca="false">SUMIFS('Financial Analysis'!$L$71:$L$790,'Financial Analysis'!$B$71:$B$790,$A132,'Financial Analysis'!$C$71:$C$790,"&gt;="&amp;'Assumptions &amp; Data'!$C$62)/SUMIFS('Financial Analysis'!$H$71:$H$790,'Financial Analysis'!$B$71:$B$790,$A132,'Financial Analysis'!$C$71:$C$790,"&gt;="&amp;'Assumptions &amp; Data'!$C$62)</f>
        <v>0.0310782621192409</v>
      </c>
      <c r="J132" s="40" t="n">
        <f aca="false">SUMIFS('Financial Analysis'!$N$71:$N$790,'Financial Analysis'!$B$71:$B$790,$A132,'Financial Analysis'!$C$71:$C$790,"&gt;="&amp;'Assumptions &amp; Data'!$C$62)/SUMIFS('Financial Analysis'!$E$71:$E$790,'Financial Analysis'!$B$71:$B$790,$A132,'Financial Analysis'!$C$71:$C$790,"&gt;="&amp;'Assumptions &amp; Data'!$C$62)</f>
        <v>47.1595679777021</v>
      </c>
      <c r="K132" s="40" t="n">
        <f aca="false">SUMIFS('Financial Analysis'!$R$71:$R$790,'Financial Analysis'!$B$71:$B$790,$A132,'Financial Analysis'!$C$71:$C$790,"&gt;="&amp;'Assumptions &amp; Data'!$C$62)/AVERAGEIFS('Assumptions &amp; Data'!$M$205:$M$924,'Assumptions &amp; Data'!$B$205:$B$924,$A132,'Assumptions &amp; Data'!$C$205:$C$924,"&gt;="&amp;'Assumptions &amp; Data'!$C$62)/'Assumptions &amp; Data'!$C$85</f>
        <v>16</v>
      </c>
      <c r="L132" s="40" t="n">
        <f aca="false">E132/K132</f>
        <v>21.9361413043478</v>
      </c>
      <c r="M132" s="40" t="n">
        <f aca="false">SUMIFS('Financial Analysis'!$Q$71:$Q$790,'Financial Analysis'!$B$71:$B$790,$A132,'Financial Analysis'!$C$71:$C$790,"&gt;="&amp;'Assumptions &amp; Data'!$C$62)/SUMIFS('Financial Analysis'!$E$71:$E$790,'Financial Analysis'!$B$71:$B$790,$A132,'Financial Analysis'!$C$71:$C$790,"&gt;="&amp;'Assumptions &amp; Data'!$C$62)</f>
        <v>37.8373901015897</v>
      </c>
      <c r="N132" s="40" t="n">
        <f aca="false">SUMIFS('Financial Analysis'!$Y$71:$Y$790,'Financial Analysis'!$B$71:$B$790,$A132,'Financial Analysis'!$C$71:$C$790,"&gt;="&amp;'Assumptions &amp; Data'!$C$62)/'Assumptions &amp; Data'!$C$85/100000</f>
        <v>14.3463266666667</v>
      </c>
      <c r="O132" s="40" t="n">
        <f aca="false">SUMIFS('Financial Analysis'!$V$71:$V$790,'Financial Analysis'!$B$71:$B$790,$A132,'Financial Analysis'!$C$71:$C$790,"&gt;="&amp;'Assumptions &amp; Data'!$C$62)/'Assumptions &amp; Data'!$C$85/100000</f>
        <v>-10.2737622453989</v>
      </c>
      <c r="P132" s="49" t="n">
        <f aca="false">O132/F132</f>
        <v>-0.164590444752792</v>
      </c>
      <c r="Q132" s="39" t="n">
        <f aca="false">IF(M132&gt;0,N132*100000/(M132*'Assumptions &amp; Data'!$C$63/'Assumptions &amp; Data'!$C$85),9999)</f>
        <v>1236.38284444028</v>
      </c>
      <c r="R132" s="49" t="n">
        <f aca="false">E132/Q132-1</f>
        <v>-0.716124934563893</v>
      </c>
      <c r="S132" s="50" t="n">
        <f aca="false">'Assumptions &amp; Data'!E168</f>
        <v>24.9</v>
      </c>
      <c r="T132" s="50" t="n">
        <f aca="false">'Assumptions &amp; Data'!G168</f>
        <v>1.8</v>
      </c>
      <c r="U132" s="49" t="n">
        <f aca="false">MAX(0,('Assumptions &amp; Data'!$C$72-T132)/'Assumptions &amp; Data'!$C$72)*'Assumptions &amp; Data'!$C$73</f>
        <v>0</v>
      </c>
      <c r="V132" s="39" t="n">
        <f aca="false">S132*$B$6*(1-U132)</f>
        <v>886.975990308452</v>
      </c>
      <c r="W132" s="49" t="n">
        <f aca="false">V132/E132-1</f>
        <v>1.52715364225387</v>
      </c>
      <c r="X132" s="39" t="n">
        <f aca="false">IF(D132&gt;='Assumptions &amp; Data'!$C$64,1,0)</f>
        <v>0</v>
      </c>
      <c r="Y132" s="40" t="str">
        <f aca="false">IF(AND(X132=1,T132&gt;='Assumptions &amp; Data'!$C$72),E132/S132,"")</f>
        <v/>
      </c>
      <c r="Z132" s="49" t="str">
        <f aca="false">IF(X132=1,H132,"")</f>
        <v/>
      </c>
      <c r="AA132" s="49" t="str">
        <f aca="false">IF(X132=1,I132,"")</f>
        <v/>
      </c>
      <c r="AB132" s="40" t="str">
        <f aca="false">IF(X132=1,J132,"")</f>
        <v/>
      </c>
      <c r="AC132" s="40" t="str">
        <f aca="false">IF(X132=1,L132,"")</f>
        <v/>
      </c>
      <c r="AD132" s="40" t="str">
        <f aca="false">IF(X132=1,AP132/E132*100,"")</f>
        <v/>
      </c>
      <c r="AE132" s="40" t="str">
        <f aca="false">IF(X132=1,M132,"")</f>
        <v/>
      </c>
      <c r="AF132" s="40" t="n">
        <f aca="false">E132*'Assumptions &amp; Data'!$C$63/'Assumptions &amp; Data'!$C$85*G132/100000</f>
        <v>67.710918</v>
      </c>
      <c r="AG132" s="49" t="n">
        <f aca="false">MAX(0,H132-$B$7)</f>
        <v>0.0233323117033752</v>
      </c>
      <c r="AH132" s="40" t="n">
        <f aca="false">AG132*AF132</f>
        <v>1.57985224449768</v>
      </c>
      <c r="AI132" s="40" t="n">
        <f aca="false">AG132*100*E132*'Assumptions &amp; Data'!$C$63/'Assumptions &amp; Data'!$C$85*M132/100000</f>
        <v>9.50223425090956</v>
      </c>
      <c r="AJ132" s="49" t="n">
        <f aca="false">MAX(0,I132-$B$8)</f>
        <v>0.00967366840895377</v>
      </c>
      <c r="AK132" s="40" t="n">
        <f aca="false">AJ132*F132</f>
        <v>0.603831950412973</v>
      </c>
      <c r="AL132" s="40" t="n">
        <f aca="false">MAX(0,K132-E132/$B$10)</f>
        <v>6.80439747753905</v>
      </c>
      <c r="AM132" s="40" t="n">
        <f aca="false">AL132*BN132/K132</f>
        <v>1.51057624001367</v>
      </c>
      <c r="AN132" s="40" t="n">
        <f aca="false">MAX(0,J132-$B$9)</f>
        <v>8.95341138124132</v>
      </c>
      <c r="AO132" s="40" t="n">
        <f aca="false">AN132*E132*'Assumptions &amp; Data'!$C$63/'Assumptions &amp; Data'!$C$85/100000</f>
        <v>0.963685511667607</v>
      </c>
      <c r="AP132" s="37" t="n">
        <f aca="false">'Assumptions &amp; Data'!H168</f>
        <v>4000</v>
      </c>
      <c r="AQ132" s="39" t="n">
        <f aca="false">MIN(AP132,$B$11*E132/100)</f>
        <v>1348.58779318579</v>
      </c>
      <c r="AR132" s="39" t="n">
        <f aca="false">IF(AP132-AQ132&gt;'Assumptions &amp; Data'!$C$78*AP132,AP132-AQ132,0)</f>
        <v>2651.41220681421</v>
      </c>
      <c r="AS132" s="50" t="n">
        <f aca="false">'Assumptions &amp; Data'!I168</f>
        <v>199</v>
      </c>
      <c r="AT132" s="40" t="n">
        <f aca="false">INDEX('Assumptions &amp; Data'!$B$89:$E$94,MATCH(B132,'Assumptions &amp; Data'!$A$89:$A$94,0),MATCH(C132,'Assumptions &amp; Data'!$B$88:$E$88,0))</f>
        <v>170</v>
      </c>
      <c r="AU132" s="39" t="n">
        <f aca="false">IF(BY132&lt;='Assumptions &amp; Data'!$C$79,1,0)</f>
        <v>0</v>
      </c>
      <c r="AV132" s="40" t="n">
        <f aca="false">AU132*(AR132*AS132+MAX(0,AS132-AT132)*(AP132-AR132))/100000</f>
        <v>0</v>
      </c>
      <c r="AW132" s="40" t="n">
        <f aca="false">'Assumptions &amp; Data'!$C$67*(AH132-'Assumptions &amp; Data'!$C$68*AI132+AK132+AM132+AO132+AV132)</f>
        <v>2.7377541624497</v>
      </c>
      <c r="AX132" s="40" t="n">
        <f aca="false">O132+AW132</f>
        <v>-7.53600808294919</v>
      </c>
      <c r="AY132" s="49" t="n">
        <f aca="false">IF(D132&lt;'Assumptions &amp; Data'!$C$64,'Assumptions &amp; Data'!$C$70,'Assumptions &amp; Data'!$C$69)</f>
        <v>0.8</v>
      </c>
      <c r="AZ132" s="40" t="n">
        <f aca="false">AY132*MAX(0,V132-E132)*'Assumptions &amp; Data'!$C$63/'Assumptions &amp; Data'!$C$85*(M132-'Assumptions &amp; Data'!$C$71)/100000</f>
        <v>3.6605641751787</v>
      </c>
      <c r="BA132" s="40" t="n">
        <f aca="false">AX132+AZ132</f>
        <v>-3.8754439077705</v>
      </c>
      <c r="BB132" s="40" t="n">
        <f aca="false">BA132+(1-'Assumptions &amp; Data'!$C$67)*AV132</f>
        <v>-3.8754439077705</v>
      </c>
      <c r="BC132" s="48" t="str">
        <f aca="false">'Assumptions &amp; Data'!F168</f>
        <v>DS030</v>
      </c>
      <c r="BD132" s="39" t="n">
        <f aca="false">INDEX('Assumptions &amp; Data'!$K$142:$K$201,MATCH(BC132,'Assumptions &amp; Data'!$A$142:$A$201,0))*'Assumptions &amp; Data'!$C$77</f>
        <v>1620</v>
      </c>
      <c r="BE132" s="39" t="n">
        <f aca="false">MAX(0,BD132-INDEX($E$106:$E$165,MATCH(BC132,$A$106:$A$165,0)))</f>
        <v>1417.22826086957</v>
      </c>
      <c r="BF132" s="39" t="n">
        <f aca="false">IF(T132&lt;='Assumptions &amp; Data'!$C$74,MIN('Assumptions &amp; Data'!$C$76*E132,BE132),0)</f>
        <v>210.586956521739</v>
      </c>
      <c r="BG132" s="40" t="n">
        <f aca="false">-O132+BF132*'Assumptions &amp; Data'!$C$63/'Assumptions &amp; Data'!$C$85*($B$12-'Assumptions &amp; Data'!$C$71)/100000</f>
        <v>13.8086798435182</v>
      </c>
      <c r="BH132" s="40" t="n">
        <f aca="false">(AS132*AP132*BY132*'Assumptions &amp; Data'!$C$82+K132*(BN132*100000/K132)*'Assumptions &amp; Data'!$C$80*(1-'Assumptions &amp; Data'!$C$81)+AP132*'Assumptions &amp; Data'!$C$83)/100000</f>
        <v>79.6368</v>
      </c>
      <c r="BI132" s="40" t="n">
        <f aca="false">'Assumptions &amp; Data'!L168*MAX(0,1-D132/'Assumptions &amp; Data'!$C$84)</f>
        <v>123.047619047619</v>
      </c>
      <c r="BJ132" s="40" t="n">
        <f aca="false">IF(BG132&gt;0,BH132/BG132,99)</f>
        <v>5.76715521704136</v>
      </c>
      <c r="BK132" s="2" t="str">
        <f aca="false">IF(AND(P132&gt;='Assumptions &amp; Data'!$C$65,R132&gt;=0,W132&gt;='Assumptions &amp; Data'!$C$66),"Scale",IF(OR(O132&gt;=0,AX132&gt;=0),"Optimise",IF(BA132&gt;=0,"Turn around",IF(BB132&gt;=0,"Relocate or resize",IF(AND(BF132&gt;0,BJ132&lt;='Assumptions &amp; Data'!$C$75,D132&gt;='Assumptions &amp; Data'!$C$64),"Close","Relocate or resize")))))</f>
        <v>Relocate or resize</v>
      </c>
      <c r="BL132" s="42" t="str">
        <f aca="false">INDEX($BK$106:$BK$165,MATCH(BC132,$A$106:$A$165,0))</f>
        <v>Relocate or resize</v>
      </c>
      <c r="BM132" s="42" t="str">
        <f aca="false">IF(RANK(P132,$P$106:$P$165)&lt;=ROUND(COUNT($P$106:$P$165)/4,0),"Q1 top",IF(RANK(P132,$P$106:$P$165)&gt;COUNT($P$106:$P$165)-ROUND(COUNT($P$106:$P$165)/4,0),"Q4 bottom","Q2-Q3 middle"))</f>
        <v>Q4 bottom</v>
      </c>
      <c r="BN132" s="40" t="n">
        <f aca="false">SUMIFS('Financial Analysis'!$R$71:$R$790,'Financial Analysis'!$B$71:$B$790,$A132,'Financial Analysis'!$C$71:$C$790,"&gt;="&amp;'Assumptions &amp; Data'!$C$62)/'Assumptions &amp; Data'!$C$85/100000</f>
        <v>3.552</v>
      </c>
      <c r="BO132" s="40" t="n">
        <f aca="false">SUMIFS('Financial Analysis'!$H$71:$H$790,'Financial Analysis'!$B$71:$B$790,$A132,'Financial Analysis'!$C$71:$C$790,"&gt;="&amp;'Assumptions &amp; Data'!$C$62)/SUMIFS('Financial Analysis'!$E$71:$E$790,'Financial Analysis'!$B$71:$B$790,$A132,'Financial Analysis'!$C$71:$C$790,"&gt;="&amp;'Assumptions &amp; Data'!$C$62)</f>
        <v>579.933373705791</v>
      </c>
      <c r="BP132" s="40" t="n">
        <f aca="false">(SUMIFS('Financial Analysis'!$I$71:$I$790,'Financial Analysis'!$B$71:$B$790,$A132,'Financial Analysis'!$C$71:$C$790,"&gt;="&amp;'Assumptions &amp; Data'!$C$62)+SUMIFS('Financial Analysis'!$J$71:$J$790,'Financial Analysis'!$B$71:$B$790,$A132,'Financial Analysis'!$C$71:$C$790,"&gt;="&amp;'Assumptions &amp; Data'!$C$62)+SUMIFS('Financial Analysis'!$K$71:$K$790,'Financial Analysis'!$B$71:$B$790,$A132,'Financial Analysis'!$C$71:$C$790,"&gt;="&amp;'Assumptions &amp; Data'!$C$62))/SUMIFS('Financial Analysis'!$E$71:$E$790,'Financial Analysis'!$B$71:$B$790,$A132,'Financial Analysis'!$C$71:$C$790,"&gt;="&amp;'Assumptions &amp; Data'!$C$62)</f>
        <v>119.260348250497</v>
      </c>
      <c r="BQ132" s="40" t="n">
        <f aca="false">SUMIFS('Financial Analysis'!$L$71:$L$790,'Financial Analysis'!$B$71:$B$790,$A132,'Financial Analysis'!$C$71:$C$790,"&gt;="&amp;'Assumptions &amp; Data'!$C$62)/SUMIFS('Financial Analysis'!$E$71:$E$790,'Financial Analysis'!$B$71:$B$790,$A132,'Financial Analysis'!$C$71:$C$790,"&gt;="&amp;'Assumptions &amp; Data'!$C$62)</f>
        <v>18.0233213997243</v>
      </c>
      <c r="BR132" s="40" t="n">
        <f aca="false">SUMIFS('Financial Analysis'!$L$71:$L$790,'Financial Analysis'!$B$71:$B$790,$A132,'Financial Analysis'!$C$71:$C$790,"&gt;="&amp;'Assumptions &amp; Data'!$C$62)/SUMIFS('Financial Analysis'!$E$71:$E$790,'Financial Analysis'!$B$71:$B$790,$A132,'Financial Analysis'!$C$71:$C$790,"&gt;="&amp;'Assumptions &amp; Data'!$C$62)</f>
        <v>18.0233213997243</v>
      </c>
      <c r="BS132" s="40" t="n">
        <f aca="false">SUMIFS('Financial Analysis'!$N$71:$N$790,'Financial Analysis'!$B$71:$B$790,$A132,'Financial Analysis'!$C$71:$C$790,"&gt;="&amp;'Assumptions &amp; Data'!$C$62)/SUMIFS('Financial Analysis'!$E$71:$E$790,'Financial Analysis'!$B$71:$B$790,$A132,'Financial Analysis'!$C$71:$C$790,"&gt;="&amp;'Assumptions &amp; Data'!$C$62)</f>
        <v>47.1595679777021</v>
      </c>
      <c r="BT132" s="40" t="n">
        <f aca="false">(SUMIFS('Financial Analysis'!$O$71:$O$790,'Financial Analysis'!$B$71:$B$790,$A132,'Financial Analysis'!$C$71:$C$790,"&gt;="&amp;'Assumptions &amp; Data'!$C$62)+SUMIFS('Financial Analysis'!$P$71:$P$790,'Financial Analysis'!$B$71:$B$790,$A132,'Financial Analysis'!$C$71:$C$790,"&gt;="&amp;'Assumptions &amp; Data'!$C$62))/SUMIFS('Financial Analysis'!$E$71:$E$790,'Financial Analysis'!$B$71:$B$790,$A132,'Financial Analysis'!$C$71:$C$790,"&gt;="&amp;'Assumptions &amp; Data'!$C$62)</f>
        <v>16.2400687714812</v>
      </c>
      <c r="BU132" s="40" t="n">
        <f aca="false">SUMIFS('Financial Analysis'!$R$71:$R$790,'Financial Analysis'!$B$71:$B$790,$A132,'Financial Analysis'!$C$71:$C$790,"&gt;="&amp;'Assumptions &amp; Data'!$C$62)/SUMIFS('Financial Analysis'!$E$71:$E$790,'Financial Analysis'!$B$71:$B$790,$A132,'Financial Analysis'!$C$71:$C$790,"&gt;="&amp;'Assumptions &amp; Data'!$C$62)</f>
        <v>33.0009290802106</v>
      </c>
      <c r="BV132" s="40" t="n">
        <f aca="false">SUMIFS('Financial Analysis'!$S$71:$S$790,'Financial Analysis'!$B$71:$B$790,$A132,'Financial Analysis'!$C$71:$C$790,"&gt;="&amp;'Assumptions &amp; Data'!$C$62)/SUMIFS('Financial Analysis'!$E$71:$E$790,'Financial Analysis'!$B$71:$B$790,$A132,'Financial Analysis'!$C$71:$C$790,"&gt;="&amp;'Assumptions &amp; Data'!$C$62)</f>
        <v>73.9547847630846</v>
      </c>
      <c r="BW132" s="40" t="n">
        <f aca="false">(SUMIFS('Financial Analysis'!$T$71:$T$790,'Financial Analysis'!$B$71:$B$790,$A132,'Financial Analysis'!$C$71:$C$790,"&gt;="&amp;'Assumptions &amp; Data'!$C$62)+SUMIFS('Financial Analysis'!$U$71:$U$790,'Financial Analysis'!$B$71:$B$790,$A132,'Financial Analysis'!$C$71:$C$790,"&gt;="&amp;'Assumptions &amp; Data'!$C$62))/SUMIFS('Financial Analysis'!$E$71:$E$790,'Financial Analysis'!$B$71:$B$790,$A132,'Financial Analysis'!$C$71:$C$790,"&gt;="&amp;'Assumptions &amp; Data'!$C$62)</f>
        <v>26.3331681635181</v>
      </c>
      <c r="BX132" s="40" t="n">
        <f aca="false">SUMIFS('Financial Analysis'!$V$71:$V$790,'Financial Analysis'!$B$71:$B$790,$A132,'Financial Analysis'!$C$71:$C$790,"&gt;="&amp;'Assumptions &amp; Data'!$C$62)/SUMIFS('Financial Analysis'!$E$71:$E$790,'Financial Analysis'!$B$71:$B$790,$A132,'Financial Analysis'!$C$71:$C$790,"&gt;="&amp;'Assumptions &amp; Data'!$C$62)</f>
        <v>-95.4514919052235</v>
      </c>
      <c r="BY132" s="37" t="n">
        <f aca="false">'Assumptions &amp; Data'!J168</f>
        <v>18</v>
      </c>
      <c r="BZ132" s="39" t="str">
        <f aca="false">IF(BK132="Close",COUNTIF($BK$106:BK132,"Close"),"")</f>
        <v/>
      </c>
    </row>
    <row r="133" customFormat="false" ht="15" hidden="false" customHeight="false" outlineLevel="0" collapsed="false">
      <c r="A133" s="48" t="str">
        <f aca="false">'Assumptions &amp; Data'!A169</f>
        <v>DS028</v>
      </c>
      <c r="B133" s="48" t="str">
        <f aca="false">'Assumptions &amp; Data'!B169</f>
        <v>Bengaluru</v>
      </c>
      <c r="C133" s="48" t="str">
        <f aca="false">'Assumptions &amp; Data'!C169</f>
        <v>Dense residential</v>
      </c>
      <c r="D133" s="37" t="n">
        <f aca="false">'Assumptions &amp; Data'!D169</f>
        <v>27</v>
      </c>
      <c r="E133" s="39" t="n">
        <f aca="false">SUMIFS('Financial Analysis'!$E$71:$E$790,'Financial Analysis'!$B$71:$B$790,$A133,'Financial Analysis'!$C$71:$C$790,"&gt;="&amp;'Assumptions &amp; Data'!$C$62)/'Assumptions &amp; Data'!$C$63</f>
        <v>1061.42391304348</v>
      </c>
      <c r="F133" s="40" t="n">
        <f aca="false">SUMIFS('Financial Analysis'!$H$71:$H$790,'Financial Analysis'!$B$71:$B$790,$A133,'Financial Analysis'!$C$71:$C$790,"&gt;="&amp;'Assumptions &amp; Data'!$C$62)/'Assumptions &amp; Data'!$C$85/100000</f>
        <v>213.5059125846</v>
      </c>
      <c r="G133" s="40" t="n">
        <f aca="false">SUMIFS('Financial Analysis'!$F$71:$F$790,'Financial Analysis'!$B$71:$B$790,$A133,'Financial Analysis'!$C$71:$C$790,"&gt;="&amp;'Assumptions &amp; Data'!$C$62)/SUMIFS('Financial Analysis'!$E$71:$E$790,'Financial Analysis'!$B$71:$B$790,$A133,'Financial Analysis'!$C$71:$C$790,"&gt;="&amp;'Assumptions &amp; Data'!$C$62)</f>
        <v>691.122122661314</v>
      </c>
      <c r="H133" s="49" t="n">
        <f aca="false">SUMIFS('Financial Analysis'!$G$71:$G$790,'Financial Analysis'!$B$71:$B$790,$A133,'Financial Analysis'!$C$71:$C$790,"&gt;="&amp;'Assumptions &amp; Data'!$C$62)/SUMIFS('Financial Analysis'!$F$71:$F$790,'Financial Analysis'!$B$71:$B$790,$A133,'Financial Analysis'!$C$71:$C$790,"&gt;="&amp;'Assumptions &amp; Data'!$C$62)</f>
        <v>0.0509268846943986</v>
      </c>
      <c r="I133" s="49" t="n">
        <f aca="false">SUMIFS('Financial Analysis'!$L$71:$L$790,'Financial Analysis'!$B$71:$B$790,$A133,'Financial Analysis'!$C$71:$C$790,"&gt;="&amp;'Assumptions &amp; Data'!$C$62)/SUMIFS('Financial Analysis'!$H$71:$H$790,'Financial Analysis'!$B$71:$B$790,$A133,'Financial Analysis'!$C$71:$C$790,"&gt;="&amp;'Assumptions &amp; Data'!$C$62)</f>
        <v>0.0191654244758586</v>
      </c>
      <c r="J133" s="40" t="n">
        <f aca="false">SUMIFS('Financial Analysis'!$N$71:$N$790,'Financial Analysis'!$B$71:$B$790,$A133,'Financial Analysis'!$C$71:$C$790,"&gt;="&amp;'Assumptions &amp; Data'!$C$62)/SUMIFS('Financial Analysis'!$E$71:$E$790,'Financial Analysis'!$B$71:$B$790,$A133,'Financial Analysis'!$C$71:$C$790,"&gt;="&amp;'Assumptions &amp; Data'!$C$62)</f>
        <v>39.8864061811963</v>
      </c>
      <c r="K133" s="40" t="n">
        <f aca="false">SUMIFS('Financial Analysis'!$R$71:$R$790,'Financial Analysis'!$B$71:$B$790,$A133,'Financial Analysis'!$C$71:$C$790,"&gt;="&amp;'Assumptions &amp; Data'!$C$62)/AVERAGEIFS('Assumptions &amp; Data'!$M$205:$M$924,'Assumptions &amp; Data'!$B$205:$B$924,$A133,'Assumptions &amp; Data'!$C$205:$C$924,"&gt;="&amp;'Assumptions &amp; Data'!$C$62)/'Assumptions &amp; Data'!$C$85</f>
        <v>28.6660660660661</v>
      </c>
      <c r="L133" s="40" t="n">
        <f aca="false">E133/K133</f>
        <v>37.0271913347732</v>
      </c>
      <c r="M133" s="40" t="n">
        <f aca="false">SUMIFS('Financial Analysis'!$Q$71:$Q$790,'Financial Analysis'!$B$71:$B$790,$A133,'Financial Analysis'!$C$71:$C$790,"&gt;="&amp;'Assumptions &amp; Data'!$C$62)/SUMIFS('Financial Analysis'!$E$71:$E$790,'Financial Analysis'!$B$71:$B$790,$A133,'Financial Analysis'!$C$71:$C$790,"&gt;="&amp;'Assumptions &amp; Data'!$C$62)</f>
        <v>72.4084478203742</v>
      </c>
      <c r="N133" s="40" t="n">
        <f aca="false">SUMIFS('Financial Analysis'!$Y$71:$Y$790,'Financial Analysis'!$B$71:$B$790,$A133,'Financial Analysis'!$C$71:$C$790,"&gt;="&amp;'Assumptions &amp; Data'!$C$62)/'Assumptions &amp; Data'!$C$85/100000</f>
        <v>15.11795</v>
      </c>
      <c r="O133" s="40" t="n">
        <f aca="false">SUMIFS('Financial Analysis'!$V$71:$V$790,'Financial Analysis'!$B$71:$B$790,$A133,'Financial Analysis'!$C$71:$C$790,"&gt;="&amp;'Assumptions &amp; Data'!$C$62)/'Assumptions &amp; Data'!$C$85/100000</f>
        <v>8.45124112702455</v>
      </c>
      <c r="P133" s="49" t="n">
        <f aca="false">O133/F133</f>
        <v>0.0395831713731853</v>
      </c>
      <c r="Q133" s="39" t="n">
        <f aca="false">IF(M133&gt;0,N133*100000/(M133*'Assumptions &amp; Data'!$C$63/'Assumptions &amp; Data'!$C$85),9999)</f>
        <v>680.827507389365</v>
      </c>
      <c r="R133" s="49" t="n">
        <f aca="false">E133/Q133-1</f>
        <v>0.559020312080973</v>
      </c>
      <c r="S133" s="50" t="n">
        <f aca="false">'Assumptions &amp; Data'!E169</f>
        <v>28.4</v>
      </c>
      <c r="T133" s="50" t="n">
        <f aca="false">'Assumptions &amp; Data'!G169</f>
        <v>1.5</v>
      </c>
      <c r="U133" s="49" t="n">
        <f aca="false">MAX(0,('Assumptions &amp; Data'!$C$72-T133)/'Assumptions &amp; Data'!$C$72)*'Assumptions &amp; Data'!$C$73</f>
        <v>0</v>
      </c>
      <c r="V133" s="39" t="n">
        <f aca="false">S133*$B$6*(1-U133)</f>
        <v>1011.65133031165</v>
      </c>
      <c r="W133" s="49" t="n">
        <f aca="false">V133/E133-1</f>
        <v>-0.0468922756687421</v>
      </c>
      <c r="X133" s="39" t="n">
        <f aca="false">IF(D133&gt;='Assumptions &amp; Data'!$C$64,1,0)</f>
        <v>1</v>
      </c>
      <c r="Y133" s="40" t="n">
        <f aca="false">IF(AND(X133=1,T133&gt;='Assumptions &amp; Data'!$C$72),E133/S133,"")</f>
        <v>37.3740814451929</v>
      </c>
      <c r="Z133" s="49" t="n">
        <f aca="false">IF(X133=1,H133,"")</f>
        <v>0.0509268846943986</v>
      </c>
      <c r="AA133" s="49" t="n">
        <f aca="false">IF(X133=1,I133,"")</f>
        <v>0.0191654244758586</v>
      </c>
      <c r="AB133" s="40" t="n">
        <f aca="false">IF(X133=1,J133,"")</f>
        <v>39.8864061811963</v>
      </c>
      <c r="AC133" s="40" t="n">
        <f aca="false">IF(X133=1,L133,"")</f>
        <v>37.0271913347732</v>
      </c>
      <c r="AD133" s="40" t="n">
        <f aca="false">IF(X133=1,AP133/E133*100,"")</f>
        <v>329.745727130291</v>
      </c>
      <c r="AE133" s="40" t="n">
        <f aca="false">IF(X133=1,M133,"")</f>
        <v>72.4084478203742</v>
      </c>
      <c r="AF133" s="40" t="n">
        <f aca="false">E133*'Assumptions &amp; Data'!$C$63/'Assumptions &amp; Data'!$C$85*G133/100000</f>
        <v>224.962554666667</v>
      </c>
      <c r="AG133" s="49" t="n">
        <f aca="false">MAX(0,H133-$B$7)</f>
        <v>0</v>
      </c>
      <c r="AH133" s="40" t="n">
        <f aca="false">AG133*AF133</f>
        <v>0</v>
      </c>
      <c r="AI133" s="40" t="n">
        <f aca="false">AG133*100*E133*'Assumptions &amp; Data'!$C$63/'Assumptions &amp; Data'!$C$85*M133/100000</f>
        <v>0</v>
      </c>
      <c r="AJ133" s="49" t="n">
        <f aca="false">MAX(0,I133-$B$8)</f>
        <v>0</v>
      </c>
      <c r="AK133" s="40" t="n">
        <f aca="false">AJ133*F133</f>
        <v>0</v>
      </c>
      <c r="AL133" s="40" t="n">
        <f aca="false">MAX(0,K133-E133/$B$10)</f>
        <v>0.85684395640877</v>
      </c>
      <c r="AM133" s="40" t="n">
        <f aca="false">AL133*BN133/K133</f>
        <v>0.190219358322747</v>
      </c>
      <c r="AN133" s="40" t="n">
        <f aca="false">MAX(0,J133-$B$9)</f>
        <v>1.68024958473554</v>
      </c>
      <c r="AO133" s="40" t="n">
        <f aca="false">AN133*E133*'Assumptions &amp; Data'!$C$63/'Assumptions &amp; Data'!$C$85/100000</f>
        <v>0.546926840663368</v>
      </c>
      <c r="AP133" s="37" t="n">
        <f aca="false">'Assumptions &amp; Data'!H169</f>
        <v>3500</v>
      </c>
      <c r="AQ133" s="39" t="n">
        <f aca="false">MIN(AP133,$B$11*E133/100)</f>
        <v>3500</v>
      </c>
      <c r="AR133" s="39" t="n">
        <f aca="false">IF(AP133-AQ133&gt;'Assumptions &amp; Data'!$C$78*AP133,AP133-AQ133,0)</f>
        <v>0</v>
      </c>
      <c r="AS133" s="50" t="n">
        <f aca="false">'Assumptions &amp; Data'!I169</f>
        <v>157</v>
      </c>
      <c r="AT133" s="40" t="n">
        <f aca="false">INDEX('Assumptions &amp; Data'!$B$89:$E$94,MATCH(B133,'Assumptions &amp; Data'!$A$89:$A$94,0),MATCH(C133,'Assumptions &amp; Data'!$B$88:$E$88,0))</f>
        <v>136</v>
      </c>
      <c r="AU133" s="39" t="n">
        <f aca="false">IF(BY133&lt;='Assumptions &amp; Data'!$C$79,1,0)</f>
        <v>1</v>
      </c>
      <c r="AV133" s="40" t="n">
        <f aca="false">AU133*(AR133*AS133+MAX(0,AS133-AT133)*(AP133-AR133))/100000</f>
        <v>0.735</v>
      </c>
      <c r="AW133" s="40" t="n">
        <f aca="false">'Assumptions &amp; Data'!$C$67*(AH133-'Assumptions &amp; Data'!$C$68*AI133+AK133+AM133+AO133+AV133)</f>
        <v>0.883287719391669</v>
      </c>
      <c r="AX133" s="40" t="n">
        <f aca="false">O133+AW133</f>
        <v>9.33452884641622</v>
      </c>
      <c r="AY133" s="49" t="n">
        <f aca="false">IF(D133&lt;'Assumptions &amp; Data'!$C$64,'Assumptions &amp; Data'!$C$70,'Assumptions &amp; Data'!$C$69)</f>
        <v>0.5</v>
      </c>
      <c r="AZ133" s="40" t="n">
        <f aca="false">AY133*MAX(0,V133-E133)*'Assumptions &amp; Data'!$C$63/'Assumptions &amp; Data'!$C$85*(M133-'Assumptions &amp; Data'!$C$71)/100000</f>
        <v>0</v>
      </c>
      <c r="BA133" s="40" t="n">
        <f aca="false">AX133+AZ133</f>
        <v>9.33452884641622</v>
      </c>
      <c r="BB133" s="40" t="n">
        <f aca="false">BA133+(1-'Assumptions &amp; Data'!$C$67)*AV133</f>
        <v>9.62852884641622</v>
      </c>
      <c r="BC133" s="48" t="str">
        <f aca="false">'Assumptions &amp; Data'!F169</f>
        <v>DS032</v>
      </c>
      <c r="BD133" s="39" t="n">
        <f aca="false">INDEX('Assumptions &amp; Data'!$K$142:$K$201,MATCH(BC133,'Assumptions &amp; Data'!$A$142:$A$201,0))*'Assumptions &amp; Data'!$C$77</f>
        <v>1620</v>
      </c>
      <c r="BE133" s="39" t="n">
        <f aca="false">MAX(0,BD133-INDEX($E$106:$E$165,MATCH(BC133,$A$106:$A$165,0)))</f>
        <v>197.934782608696</v>
      </c>
      <c r="BF133" s="39" t="n">
        <f aca="false">IF(T133&lt;='Assumptions &amp; Data'!$C$74,MIN('Assumptions &amp; Data'!$C$76*E133,BE133),0)</f>
        <v>197.934782608696</v>
      </c>
      <c r="BG133" s="40" t="n">
        <f aca="false">-O133+BF133*'Assumptions &amp; Data'!$C$63/'Assumptions &amp; Data'!$C$85*($B$12-'Assumptions &amp; Data'!$C$71)/100000</f>
        <v>-5.12870321736454</v>
      </c>
      <c r="BH133" s="40" t="n">
        <f aca="false">(AS133*AP133*BY133*'Assumptions &amp; Data'!$C$82+K133*(BN133*100000/K133)*'Assumptions &amp; Data'!$C$80*(1-'Assumptions &amp; Data'!$C$81)+AP133*'Assumptions &amp; Data'!$C$83)/100000</f>
        <v>42.89748</v>
      </c>
      <c r="BI133" s="40" t="n">
        <f aca="false">'Assumptions &amp; Data'!L169*MAX(0,1-D133/'Assumptions &amp; Data'!$C$84)</f>
        <v>80.75</v>
      </c>
      <c r="BJ133" s="40" t="n">
        <f aca="false">IF(BG133&gt;0,BH133/BG133,99)</f>
        <v>99</v>
      </c>
      <c r="BK133" s="2" t="str">
        <f aca="false">IF(AND(P133&gt;='Assumptions &amp; Data'!$C$65,R133&gt;=0,W133&gt;='Assumptions &amp; Data'!$C$66),"Scale",IF(OR(O133&gt;=0,AX133&gt;=0),"Optimise",IF(BA133&gt;=0,"Turn around",IF(BB133&gt;=0,"Relocate or resize",IF(AND(BF133&gt;0,BJ133&lt;='Assumptions &amp; Data'!$C$75,D133&gt;='Assumptions &amp; Data'!$C$64),"Close","Relocate or resize")))))</f>
        <v>Optimise</v>
      </c>
      <c r="BL133" s="42" t="str">
        <f aca="false">INDEX($BK$106:$BK$165,MATCH(BC133,$A$106:$A$165,0))</f>
        <v>Optimise</v>
      </c>
      <c r="BM133" s="42" t="str">
        <f aca="false">IF(RANK(P133,$P$106:$P$165)&lt;=ROUND(COUNT($P$106:$P$165)/4,0),"Q1 top",IF(RANK(P133,$P$106:$P$165)&gt;COUNT($P$106:$P$165)-ROUND(COUNT($P$106:$P$165)/4,0),"Q4 bottom","Q2-Q3 middle"))</f>
        <v>Q2-Q3 middle</v>
      </c>
      <c r="BN133" s="40" t="n">
        <f aca="false">SUMIFS('Financial Analysis'!$R$71:$R$790,'Financial Analysis'!$B$71:$B$790,$A133,'Financial Analysis'!$C$71:$C$790,"&gt;="&amp;'Assumptions &amp; Data'!$C$62)/'Assumptions &amp; Data'!$C$85/100000</f>
        <v>6.36386666666667</v>
      </c>
      <c r="BO133" s="40" t="n">
        <f aca="false">SUMIFS('Financial Analysis'!$H$71:$H$790,'Financial Analysis'!$B$71:$B$790,$A133,'Financial Analysis'!$C$71:$C$790,"&gt;="&amp;'Assumptions &amp; Data'!$C$62)/SUMIFS('Financial Analysis'!$E$71:$E$790,'Financial Analysis'!$B$71:$B$790,$A133,'Financial Analysis'!$C$71:$C$790,"&gt;="&amp;'Assumptions &amp; Data'!$C$62)</f>
        <v>655.925426010794</v>
      </c>
      <c r="BP133" s="40" t="n">
        <f aca="false">(SUMIFS('Financial Analysis'!$I$71:$I$790,'Financial Analysis'!$B$71:$B$790,$A133,'Financial Analysis'!$C$71:$C$790,"&gt;="&amp;'Assumptions &amp; Data'!$C$62)+SUMIFS('Financial Analysis'!$J$71:$J$790,'Financial Analysis'!$B$71:$B$790,$A133,'Financial Analysis'!$C$71:$C$790,"&gt;="&amp;'Assumptions &amp; Data'!$C$62)+SUMIFS('Financial Analysis'!$K$71:$K$790,'Financial Analysis'!$B$71:$B$790,$A133,'Financial Analysis'!$C$71:$C$790,"&gt;="&amp;'Assumptions &amp; Data'!$C$62))/SUMIFS('Financial Analysis'!$E$71:$E$790,'Financial Analysis'!$B$71:$B$790,$A133,'Financial Analysis'!$C$71:$C$790,"&gt;="&amp;'Assumptions &amp; Data'!$C$62)</f>
        <v>142.047418270678</v>
      </c>
      <c r="BQ133" s="40" t="n">
        <f aca="false">SUMIFS('Financial Analysis'!$L$71:$L$790,'Financial Analysis'!$B$71:$B$790,$A133,'Financial Analysis'!$C$71:$C$790,"&gt;="&amp;'Assumptions &amp; Data'!$C$62)/SUMIFS('Financial Analysis'!$E$71:$E$790,'Financial Analysis'!$B$71:$B$790,$A133,'Financial Analysis'!$C$71:$C$790,"&gt;="&amp;'Assumptions &amp; Data'!$C$62)</f>
        <v>12.5710892140052</v>
      </c>
      <c r="BR133" s="40" t="n">
        <f aca="false">SUMIFS('Financial Analysis'!$L$71:$L$790,'Financial Analysis'!$B$71:$B$790,$A133,'Financial Analysis'!$C$71:$C$790,"&gt;="&amp;'Assumptions &amp; Data'!$C$62)/SUMIFS('Financial Analysis'!$E$71:$E$790,'Financial Analysis'!$B$71:$B$790,$A133,'Financial Analysis'!$C$71:$C$790,"&gt;="&amp;'Assumptions &amp; Data'!$C$62)</f>
        <v>12.5710892140052</v>
      </c>
      <c r="BS133" s="40" t="n">
        <f aca="false">SUMIFS('Financial Analysis'!$N$71:$N$790,'Financial Analysis'!$B$71:$B$790,$A133,'Financial Analysis'!$C$71:$C$790,"&gt;="&amp;'Assumptions &amp; Data'!$C$62)/SUMIFS('Financial Analysis'!$E$71:$E$790,'Financial Analysis'!$B$71:$B$790,$A133,'Financial Analysis'!$C$71:$C$790,"&gt;="&amp;'Assumptions &amp; Data'!$C$62)</f>
        <v>39.8864061811963</v>
      </c>
      <c r="BT133" s="40" t="n">
        <f aca="false">(SUMIFS('Financial Analysis'!$O$71:$O$790,'Financial Analysis'!$B$71:$B$790,$A133,'Financial Analysis'!$C$71:$C$790,"&gt;="&amp;'Assumptions &amp; Data'!$C$62)+SUMIFS('Financial Analysis'!$P$71:$P$790,'Financial Analysis'!$B$71:$B$790,$A133,'Financial Analysis'!$C$71:$C$790,"&gt;="&amp;'Assumptions &amp; Data'!$C$62))/SUMIFS('Financial Analysis'!$E$71:$E$790,'Financial Analysis'!$B$71:$B$790,$A133,'Financial Analysis'!$C$71:$C$790,"&gt;="&amp;'Assumptions &amp; Data'!$C$62)</f>
        <v>17.1814750551027</v>
      </c>
      <c r="BU133" s="40" t="n">
        <f aca="false">SUMIFS('Financial Analysis'!$R$71:$R$790,'Financial Analysis'!$B$71:$B$790,$A133,'Financial Analysis'!$C$71:$C$790,"&gt;="&amp;'Assumptions &amp; Data'!$C$62)/SUMIFS('Financial Analysis'!$E$71:$E$790,'Financial Analysis'!$B$71:$B$790,$A133,'Financial Analysis'!$C$71:$C$790,"&gt;="&amp;'Assumptions &amp; Data'!$C$62)</f>
        <v>19.5508494536666</v>
      </c>
      <c r="BV133" s="40" t="n">
        <f aca="false">SUMIFS('Financial Analysis'!$S$71:$S$790,'Financial Analysis'!$B$71:$B$790,$A133,'Financial Analysis'!$C$71:$C$790,"&gt;="&amp;'Assumptions &amp; Data'!$C$62)/SUMIFS('Financial Analysis'!$E$71:$E$790,'Financial Analysis'!$B$71:$B$790,$A133,'Financial Analysis'!$C$71:$C$790,"&gt;="&amp;'Assumptions &amp; Data'!$C$62)</f>
        <v>16.8815475519964</v>
      </c>
      <c r="BW133" s="40" t="n">
        <f aca="false">(SUMIFS('Financial Analysis'!$T$71:$T$790,'Financial Analysis'!$B$71:$B$790,$A133,'Financial Analysis'!$C$71:$C$790,"&gt;="&amp;'Assumptions &amp; Data'!$C$62)+SUMIFS('Financial Analysis'!$U$71:$U$790,'Financial Analysis'!$B$71:$B$790,$A133,'Financial Analysis'!$C$71:$C$790,"&gt;="&amp;'Assumptions &amp; Data'!$C$62))/SUMIFS('Financial Analysis'!$E$71:$E$790,'Financial Analysis'!$B$71:$B$790,$A133,'Financial Analysis'!$C$71:$C$790,"&gt;="&amp;'Assumptions &amp; Data'!$C$62)</f>
        <v>10.0124422688964</v>
      </c>
      <c r="BX133" s="40" t="n">
        <f aca="false">SUMIFS('Financial Analysis'!$V$71:$V$790,'Financial Analysis'!$B$71:$B$790,$A133,'Financial Analysis'!$C$71:$C$790,"&gt;="&amp;'Assumptions &amp; Data'!$C$62)/SUMIFS('Financial Analysis'!$E$71:$E$790,'Financial Analysis'!$B$71:$B$790,$A133,'Financial Analysis'!$C$71:$C$790,"&gt;="&amp;'Assumptions &amp; Data'!$C$62)</f>
        <v>25.9636085458148</v>
      </c>
      <c r="BY133" s="37" t="n">
        <f aca="false">'Assumptions &amp; Data'!J169</f>
        <v>12</v>
      </c>
      <c r="BZ133" s="39" t="str">
        <f aca="false">IF(BK133="Close",COUNTIF($BK$106:BK133,"Close"),"")</f>
        <v/>
      </c>
    </row>
    <row r="134" customFormat="false" ht="15" hidden="false" customHeight="false" outlineLevel="0" collapsed="false">
      <c r="A134" s="48" t="str">
        <f aca="false">'Assumptions &amp; Data'!A170</f>
        <v>DS029</v>
      </c>
      <c r="B134" s="48" t="str">
        <f aca="false">'Assumptions &amp; Data'!B170</f>
        <v>Bengaluru</v>
      </c>
      <c r="C134" s="48" t="str">
        <f aca="false">'Assumptions &amp; Data'!C170</f>
        <v>Peripheral / emerging</v>
      </c>
      <c r="D134" s="37" t="n">
        <f aca="false">'Assumptions &amp; Data'!D170</f>
        <v>15</v>
      </c>
      <c r="E134" s="39" t="n">
        <f aca="false">SUMIFS('Financial Analysis'!$E$71:$E$790,'Financial Analysis'!$B$71:$B$790,$A134,'Financial Analysis'!$C$71:$C$790,"&gt;="&amp;'Assumptions &amp; Data'!$C$62)/'Assumptions &amp; Data'!$C$63</f>
        <v>589.79347826087</v>
      </c>
      <c r="F134" s="40" t="n">
        <f aca="false">SUMIFS('Financial Analysis'!$H$71:$H$790,'Financial Analysis'!$B$71:$B$790,$A134,'Financial Analysis'!$C$71:$C$790,"&gt;="&amp;'Assumptions &amp; Data'!$C$62)/'Assumptions &amp; Data'!$C$85/100000</f>
        <v>113.5509373458</v>
      </c>
      <c r="G134" s="40" t="n">
        <f aca="false">SUMIFS('Financial Analysis'!$F$71:$F$790,'Financial Analysis'!$B$71:$B$790,$A134,'Financial Analysis'!$C$71:$C$790,"&gt;="&amp;'Assumptions &amp; Data'!$C$62)/SUMIFS('Financial Analysis'!$E$71:$E$790,'Financial Analysis'!$B$71:$B$790,$A134,'Financial Analysis'!$C$71:$C$790,"&gt;="&amp;'Assumptions &amp; Data'!$C$62)</f>
        <v>665.807979948766</v>
      </c>
      <c r="H134" s="49" t="n">
        <f aca="false">SUMIFS('Financial Analysis'!$G$71:$G$790,'Financial Analysis'!$B$71:$B$790,$A134,'Financial Analysis'!$C$71:$C$790,"&gt;="&amp;'Assumptions &amp; Data'!$C$62)/SUMIFS('Financial Analysis'!$F$71:$F$790,'Financial Analysis'!$B$71:$B$790,$A134,'Financial Analysis'!$C$71:$C$790,"&gt;="&amp;'Assumptions &amp; Data'!$C$62)</f>
        <v>0.0570792586269989</v>
      </c>
      <c r="I134" s="49" t="n">
        <f aca="false">SUMIFS('Financial Analysis'!$L$71:$L$790,'Financial Analysis'!$B$71:$B$790,$A134,'Financial Analysis'!$C$71:$C$790,"&gt;="&amp;'Assumptions &amp; Data'!$C$62)/SUMIFS('Financial Analysis'!$H$71:$H$790,'Financial Analysis'!$B$71:$B$790,$A134,'Financial Analysis'!$C$71:$C$790,"&gt;="&amp;'Assumptions &amp; Data'!$C$62)</f>
        <v>0.0355215714625316</v>
      </c>
      <c r="J134" s="40" t="n">
        <f aca="false">SUMIFS('Financial Analysis'!$N$71:$N$790,'Financial Analysis'!$B$71:$B$790,$A134,'Financial Analysis'!$C$71:$C$790,"&gt;="&amp;'Assumptions &amp; Data'!$C$62)/SUMIFS('Financial Analysis'!$E$71:$E$790,'Financial Analysis'!$B$71:$B$790,$A134,'Financial Analysis'!$C$71:$C$790,"&gt;="&amp;'Assumptions &amp; Data'!$C$62)</f>
        <v>42.8595243360793</v>
      </c>
      <c r="K134" s="40" t="n">
        <f aca="false">SUMIFS('Financial Analysis'!$R$71:$R$790,'Financial Analysis'!$B$71:$B$790,$A134,'Financial Analysis'!$C$71:$C$790,"&gt;="&amp;'Assumptions &amp; Data'!$C$62)/AVERAGEIFS('Assumptions &amp; Data'!$M$205:$M$924,'Assumptions &amp; Data'!$B$205:$B$924,$A134,'Assumptions &amp; Data'!$C$205:$C$924,"&gt;="&amp;'Assumptions &amp; Data'!$C$62)/'Assumptions &amp; Data'!$C$85</f>
        <v>16</v>
      </c>
      <c r="L134" s="40" t="n">
        <f aca="false">E134/K134</f>
        <v>36.8620923913044</v>
      </c>
      <c r="M134" s="40" t="n">
        <f aca="false">SUMIFS('Financial Analysis'!$Q$71:$Q$790,'Financial Analysis'!$B$71:$B$790,$A134,'Financial Analysis'!$C$71:$C$790,"&gt;="&amp;'Assumptions &amp; Data'!$C$62)/SUMIFS('Financial Analysis'!$E$71:$E$790,'Financial Analysis'!$B$71:$B$790,$A134,'Financial Analysis'!$C$71:$C$790,"&gt;="&amp;'Assumptions &amp; Data'!$C$62)</f>
        <v>46.1320936786955</v>
      </c>
      <c r="N134" s="40" t="n">
        <f aca="false">SUMIFS('Financial Analysis'!$Y$71:$Y$790,'Financial Analysis'!$B$71:$B$790,$A134,'Financial Analysis'!$C$71:$C$790,"&gt;="&amp;'Assumptions &amp; Data'!$C$62)/'Assumptions &amp; Data'!$C$85/100000</f>
        <v>11.14088</v>
      </c>
      <c r="O134" s="40" t="n">
        <f aca="false">SUMIFS('Financial Analysis'!$V$71:$V$790,'Financial Analysis'!$B$71:$B$790,$A134,'Financial Analysis'!$C$71:$C$790,"&gt;="&amp;'Assumptions &amp; Data'!$C$62)/'Assumptions &amp; Data'!$C$85/100000</f>
        <v>-2.79696821633435</v>
      </c>
      <c r="P134" s="49" t="n">
        <f aca="false">O134/F134</f>
        <v>-0.0246318373208727</v>
      </c>
      <c r="Q134" s="39" t="n">
        <f aca="false">IF(M134&gt;0,N134*100000/(M134*'Assumptions &amp; Data'!$C$63/'Assumptions &amp; Data'!$C$85),9999)</f>
        <v>787.498542224552</v>
      </c>
      <c r="R134" s="49" t="n">
        <f aca="false">E134/Q134-1</f>
        <v>-0.251054514215606</v>
      </c>
      <c r="S134" s="50" t="n">
        <f aca="false">'Assumptions &amp; Data'!E170</f>
        <v>34.4</v>
      </c>
      <c r="T134" s="50" t="n">
        <f aca="false">'Assumptions &amp; Data'!G170</f>
        <v>3.5</v>
      </c>
      <c r="U134" s="49" t="n">
        <f aca="false">MAX(0,('Assumptions &amp; Data'!$C$72-T134)/'Assumptions &amp; Data'!$C$72)*'Assumptions &amp; Data'!$C$73</f>
        <v>0</v>
      </c>
      <c r="V134" s="39" t="n">
        <f aca="false">S134*$B$6*(1-U134)</f>
        <v>1225.38048460284</v>
      </c>
      <c r="W134" s="49" t="n">
        <f aca="false">V134/E134-1</f>
        <v>1.07764332731541</v>
      </c>
      <c r="X134" s="39" t="n">
        <f aca="false">IF(D134&gt;='Assumptions &amp; Data'!$C$64,1,0)</f>
        <v>1</v>
      </c>
      <c r="Y134" s="40" t="n">
        <f aca="false">IF(AND(X134=1,T134&gt;='Assumptions &amp; Data'!$C$72),E134/S134,"")</f>
        <v>17.1451592517695</v>
      </c>
      <c r="Z134" s="49" t="n">
        <f aca="false">IF(X134=1,H134,"")</f>
        <v>0.0570792586269989</v>
      </c>
      <c r="AA134" s="49" t="n">
        <f aca="false">IF(X134=1,I134,"")</f>
        <v>0.0355215714625316</v>
      </c>
      <c r="AB134" s="40" t="n">
        <f aca="false">IF(X134=1,J134,"")</f>
        <v>42.8595243360793</v>
      </c>
      <c r="AC134" s="40" t="n">
        <f aca="false">IF(X134=1,L134,"")</f>
        <v>36.8620923913044</v>
      </c>
      <c r="AD134" s="40" t="n">
        <f aca="false">IF(X134=1,AP134/E134*100,"")</f>
        <v>762.97893514679</v>
      </c>
      <c r="AE134" s="40" t="n">
        <f aca="false">IF(X134=1,M134,"")</f>
        <v>46.1320936786955</v>
      </c>
      <c r="AF134" s="40" t="n">
        <f aca="false">E134*'Assumptions &amp; Data'!$C$63/'Assumptions &amp; Data'!$C$85*G134/100000</f>
        <v>120.424689333333</v>
      </c>
      <c r="AG134" s="49" t="n">
        <f aca="false">MAX(0,H134-$B$7)</f>
        <v>0.00227415862374215</v>
      </c>
      <c r="AH134" s="40" t="n">
        <f aca="false">AG134*AF134</f>
        <v>0.273864845758869</v>
      </c>
      <c r="AI134" s="40" t="n">
        <f aca="false">AG134*100*E134*'Assumptions &amp; Data'!$C$63/'Assumptions &amp; Data'!$C$85*M134/100000</f>
        <v>1.89753789385669</v>
      </c>
      <c r="AJ134" s="49" t="n">
        <f aca="false">MAX(0,I134-$B$8)</f>
        <v>0.0141169777522445</v>
      </c>
      <c r="AK134" s="40" t="n">
        <f aca="false">AJ134*F134</f>
        <v>1.60299605625716</v>
      </c>
      <c r="AL134" s="40" t="n">
        <f aca="false">MAX(0,K134-E134/$B$10)</f>
        <v>0.547457774194687</v>
      </c>
      <c r="AM134" s="40" t="n">
        <f aca="false">AL134*BN134/K134</f>
        <v>0.12153562587122</v>
      </c>
      <c r="AN134" s="40" t="n">
        <f aca="false">MAX(0,J134-$B$9)</f>
        <v>4.65336773961856</v>
      </c>
      <c r="AO134" s="40" t="n">
        <f aca="false">AN134*E134*'Assumptions &amp; Data'!$C$63/'Assumptions &amp; Data'!$C$85/100000</f>
        <v>0.841654623064809</v>
      </c>
      <c r="AP134" s="37" t="n">
        <f aca="false">'Assumptions &amp; Data'!H170</f>
        <v>4500</v>
      </c>
      <c r="AQ134" s="39" t="n">
        <f aca="false">MIN(AP134,$B$11*E134/100)</f>
        <v>2266.20384781835</v>
      </c>
      <c r="AR134" s="39" t="n">
        <f aca="false">IF(AP134-AQ134&gt;'Assumptions &amp; Data'!$C$78*AP134,AP134-AQ134,0)</f>
        <v>2233.79615218165</v>
      </c>
      <c r="AS134" s="50" t="n">
        <f aca="false">'Assumptions &amp; Data'!I170</f>
        <v>97</v>
      </c>
      <c r="AT134" s="40" t="n">
        <f aca="false">INDEX('Assumptions &amp; Data'!$B$89:$E$94,MATCH(B134,'Assumptions &amp; Data'!$A$89:$A$94,0),MATCH(C134,'Assumptions &amp; Data'!$B$88:$E$88,0))</f>
        <v>95</v>
      </c>
      <c r="AU134" s="39" t="n">
        <f aca="false">IF(BY134&lt;='Assumptions &amp; Data'!$C$79,1,0)</f>
        <v>0</v>
      </c>
      <c r="AV134" s="40" t="n">
        <f aca="false">AU134*(AR134*AS134+MAX(0,AS134-AT134)*(AP134-AR134))/100000</f>
        <v>0</v>
      </c>
      <c r="AW134" s="40" t="n">
        <f aca="false">'Assumptions &amp; Data'!$C$67*(AH134-'Assumptions &amp; Data'!$C$68*AI134+AK134+AM134+AO134+AV134)</f>
        <v>1.6926454632081</v>
      </c>
      <c r="AX134" s="40" t="n">
        <f aca="false">O134+AW134</f>
        <v>-1.10432275312626</v>
      </c>
      <c r="AY134" s="49" t="n">
        <f aca="false">IF(D134&lt;'Assumptions &amp; Data'!$C$64,'Assumptions &amp; Data'!$C$70,'Assumptions &amp; Data'!$C$69)</f>
        <v>0.5</v>
      </c>
      <c r="AZ134" s="40" t="n">
        <f aca="false">AY134*MAX(0,V134-E134)*'Assumptions &amp; Data'!$C$63/'Assumptions &amp; Data'!$C$85*(M134-'Assumptions &amp; Data'!$C$71)/100000</f>
        <v>3.52131368563016</v>
      </c>
      <c r="BA134" s="40" t="n">
        <f aca="false">AX134+AZ134</f>
        <v>2.4169909325039</v>
      </c>
      <c r="BB134" s="40" t="n">
        <f aca="false">BA134+(1-'Assumptions &amp; Data'!$C$67)*AV134</f>
        <v>2.4169909325039</v>
      </c>
      <c r="BC134" s="48" t="str">
        <f aca="false">'Assumptions &amp; Data'!F170</f>
        <v>DS036</v>
      </c>
      <c r="BD134" s="39" t="n">
        <f aca="false">INDEX('Assumptions &amp; Data'!$K$142:$K$201,MATCH(BC134,'Assumptions &amp; Data'!$A$142:$A$201,0))*'Assumptions &amp; Data'!$C$77</f>
        <v>1620</v>
      </c>
      <c r="BE134" s="39" t="n">
        <f aca="false">MAX(0,BD134-INDEX($E$106:$E$165,MATCH(BC134,$A$106:$A$165,0)))</f>
        <v>0</v>
      </c>
      <c r="BF134" s="39" t="n">
        <f aca="false">IF(T134&lt;='Assumptions &amp; Data'!$C$74,MIN('Assumptions &amp; Data'!$C$76*E134,BE134),0)</f>
        <v>0</v>
      </c>
      <c r="BG134" s="40" t="n">
        <f aca="false">-O134+BF134*'Assumptions &amp; Data'!$C$63/'Assumptions &amp; Data'!$C$85*($B$12-'Assumptions &amp; Data'!$C$71)/100000</f>
        <v>2.79696821633435</v>
      </c>
      <c r="BH134" s="40" t="n">
        <f aca="false">(AS134*AP134*BY134*'Assumptions &amp; Data'!$C$82+K134*(BN134*100000/K134)*'Assumptions &amp; Data'!$C$80*(1-'Assumptions &amp; Data'!$C$81)+AP134*'Assumptions &amp; Data'!$C$83)/100000</f>
        <v>87.1668</v>
      </c>
      <c r="BI134" s="40" t="n">
        <f aca="false">'Assumptions &amp; Data'!L170*MAX(0,1-D134/'Assumptions &amp; Data'!$C$84)</f>
        <v>125.678571428571</v>
      </c>
      <c r="BJ134" s="40" t="n">
        <f aca="false">IF(BG134&gt;0,BH134/BG134,99)</f>
        <v>31.1647445583915</v>
      </c>
      <c r="BK134" s="2" t="str">
        <f aca="false">IF(AND(P134&gt;='Assumptions &amp; Data'!$C$65,R134&gt;=0,W134&gt;='Assumptions &amp; Data'!$C$66),"Scale",IF(OR(O134&gt;=0,AX134&gt;=0),"Optimise",IF(BA134&gt;=0,"Turn around",IF(BB134&gt;=0,"Relocate or resize",IF(AND(BF134&gt;0,BJ134&lt;='Assumptions &amp; Data'!$C$75,D134&gt;='Assumptions &amp; Data'!$C$64),"Close","Relocate or resize")))))</f>
        <v>Turn around</v>
      </c>
      <c r="BL134" s="42" t="str">
        <f aca="false">INDEX($BK$106:$BK$165,MATCH(BC134,$A$106:$A$165,0))</f>
        <v>Optimise</v>
      </c>
      <c r="BM134" s="42" t="str">
        <f aca="false">IF(RANK(P134,$P$106:$P$165)&lt;=ROUND(COUNT($P$106:$P$165)/4,0),"Q1 top",IF(RANK(P134,$P$106:$P$165)&gt;COUNT($P$106:$P$165)-ROUND(COUNT($P$106:$P$165)/4,0),"Q4 bottom","Q2-Q3 middle"))</f>
        <v>Q2-Q3 middle</v>
      </c>
      <c r="BN134" s="40" t="n">
        <f aca="false">SUMIFS('Financial Analysis'!$R$71:$R$790,'Financial Analysis'!$B$71:$B$790,$A134,'Financial Analysis'!$C$71:$C$790,"&gt;="&amp;'Assumptions &amp; Data'!$C$62)/'Assumptions &amp; Data'!$C$85/100000</f>
        <v>3.552</v>
      </c>
      <c r="BO134" s="40" t="n">
        <f aca="false">SUMIFS('Financial Analysis'!$H$71:$H$790,'Financial Analysis'!$B$71:$B$790,$A134,'Financial Analysis'!$C$71:$C$790,"&gt;="&amp;'Assumptions &amp; Data'!$C$62)/SUMIFS('Financial Analysis'!$E$71:$E$790,'Financial Analysis'!$B$71:$B$790,$A134,'Financial Analysis'!$C$71:$C$790,"&gt;="&amp;'Assumptions &amp; Data'!$C$62)</f>
        <v>627.804154065351</v>
      </c>
      <c r="BP134" s="40" t="n">
        <f aca="false">(SUMIFS('Financial Analysis'!$I$71:$I$790,'Financial Analysis'!$B$71:$B$790,$A134,'Financial Analysis'!$C$71:$C$790,"&gt;="&amp;'Assumptions &amp; Data'!$C$62)+SUMIFS('Financial Analysis'!$J$71:$J$790,'Financial Analysis'!$B$71:$B$790,$A134,'Financial Analysis'!$C$71:$C$790,"&gt;="&amp;'Assumptions &amp; Data'!$C$62)+SUMIFS('Financial Analysis'!$K$71:$K$790,'Financial Analysis'!$B$71:$B$790,$A134,'Financial Analysis'!$C$71:$C$790,"&gt;="&amp;'Assumptions &amp; Data'!$C$62))/SUMIFS('Financial Analysis'!$E$71:$E$790,'Financial Analysis'!$B$71:$B$790,$A134,'Financial Analysis'!$C$71:$C$790,"&gt;="&amp;'Assumptions &amp; Data'!$C$62)</f>
        <v>127.928947653449</v>
      </c>
      <c r="BQ134" s="40" t="n">
        <f aca="false">SUMIFS('Financial Analysis'!$L$71:$L$790,'Financial Analysis'!$B$71:$B$790,$A134,'Financial Analysis'!$C$71:$C$790,"&gt;="&amp;'Assumptions &amp; Data'!$C$62)/SUMIFS('Financial Analysis'!$E$71:$E$790,'Financial Analysis'!$B$71:$B$790,$A134,'Financial Analysis'!$C$71:$C$790,"&gt;="&amp;'Assumptions &amp; Data'!$C$62)</f>
        <v>22.3005901231065</v>
      </c>
      <c r="BR134" s="40" t="n">
        <f aca="false">SUMIFS('Financial Analysis'!$L$71:$L$790,'Financial Analysis'!$B$71:$B$790,$A134,'Financial Analysis'!$C$71:$C$790,"&gt;="&amp;'Assumptions &amp; Data'!$C$62)/SUMIFS('Financial Analysis'!$E$71:$E$790,'Financial Analysis'!$B$71:$B$790,$A134,'Financial Analysis'!$C$71:$C$790,"&gt;="&amp;'Assumptions &amp; Data'!$C$62)</f>
        <v>22.3005901231065</v>
      </c>
      <c r="BS134" s="40" t="n">
        <f aca="false">SUMIFS('Financial Analysis'!$N$71:$N$790,'Financial Analysis'!$B$71:$B$790,$A134,'Financial Analysis'!$C$71:$C$790,"&gt;="&amp;'Assumptions &amp; Data'!$C$62)/SUMIFS('Financial Analysis'!$E$71:$E$790,'Financial Analysis'!$B$71:$B$790,$A134,'Financial Analysis'!$C$71:$C$790,"&gt;="&amp;'Assumptions &amp; Data'!$C$62)</f>
        <v>42.8595243360793</v>
      </c>
      <c r="BT134" s="40" t="n">
        <f aca="false">(SUMIFS('Financial Analysis'!$O$71:$O$790,'Financial Analysis'!$B$71:$B$790,$A134,'Financial Analysis'!$C$71:$C$790,"&gt;="&amp;'Assumptions &amp; Data'!$C$62)+SUMIFS('Financial Analysis'!$P$71:$P$790,'Financial Analysis'!$B$71:$B$790,$A134,'Financial Analysis'!$C$71:$C$790,"&gt;="&amp;'Assumptions &amp; Data'!$C$62))/SUMIFS('Financial Analysis'!$E$71:$E$790,'Financial Analysis'!$B$71:$B$790,$A134,'Financial Analysis'!$C$71:$C$790,"&gt;="&amp;'Assumptions &amp; Data'!$C$62)</f>
        <v>16.6367395155676</v>
      </c>
      <c r="BU134" s="40" t="n">
        <f aca="false">SUMIFS('Financial Analysis'!$R$71:$R$790,'Financial Analysis'!$B$71:$B$790,$A134,'Financial Analysis'!$C$71:$C$790,"&gt;="&amp;'Assumptions &amp; Data'!$C$62)/SUMIFS('Financial Analysis'!$E$71:$E$790,'Financial Analysis'!$B$71:$B$790,$A134,'Financial Analysis'!$C$71:$C$790,"&gt;="&amp;'Assumptions &amp; Data'!$C$62)</f>
        <v>19.6384143307348</v>
      </c>
      <c r="BV134" s="40" t="n">
        <f aca="false">SUMIFS('Financial Analysis'!$S$71:$S$790,'Financial Analysis'!$B$71:$B$790,$A134,'Financial Analysis'!$C$71:$C$790,"&gt;="&amp;'Assumptions &amp; Data'!$C$62)/SUMIFS('Financial Analysis'!$E$71:$E$790,'Financial Analysis'!$B$71:$B$790,$A134,'Financial Analysis'!$C$71:$C$790,"&gt;="&amp;'Assumptions &amp; Data'!$C$62)</f>
        <v>24.1333554486648</v>
      </c>
      <c r="BW134" s="40" t="n">
        <f aca="false">(SUMIFS('Financial Analysis'!$T$71:$T$790,'Financial Analysis'!$B$71:$B$790,$A134,'Financial Analysis'!$C$71:$C$790,"&gt;="&amp;'Assumptions &amp; Data'!$C$62)+SUMIFS('Financial Analysis'!$U$71:$U$790,'Financial Analysis'!$B$71:$B$790,$A134,'Financial Analysis'!$C$71:$C$790,"&gt;="&amp;'Assumptions &amp; Data'!$C$62))/SUMIFS('Financial Analysis'!$E$71:$E$790,'Financial Analysis'!$B$71:$B$790,$A134,'Financial Analysis'!$C$71:$C$790,"&gt;="&amp;'Assumptions &amp; Data'!$C$62)</f>
        <v>17.8242936916017</v>
      </c>
      <c r="BX134" s="40" t="n">
        <f aca="false">SUMIFS('Financial Analysis'!$V$71:$V$790,'Financial Analysis'!$B$71:$B$790,$A134,'Financial Analysis'!$C$71:$C$790,"&gt;="&amp;'Assumptions &amp; Data'!$C$62)/SUMIFS('Financial Analysis'!$E$71:$E$790,'Financial Analysis'!$B$71:$B$790,$A134,'Financial Analysis'!$C$71:$C$790,"&gt;="&amp;'Assumptions &amp; Data'!$C$62)</f>
        <v>-15.4639697923058</v>
      </c>
      <c r="BY134" s="37" t="n">
        <f aca="false">'Assumptions &amp; Data'!J170</f>
        <v>36</v>
      </c>
      <c r="BZ134" s="39" t="str">
        <f aca="false">IF(BK134="Close",COUNTIF($BK$106:BK134,"Close"),"")</f>
        <v/>
      </c>
    </row>
    <row r="135" customFormat="false" ht="15" hidden="false" customHeight="false" outlineLevel="0" collapsed="false">
      <c r="A135" s="48" t="str">
        <f aca="false">'Assumptions &amp; Data'!A171</f>
        <v>DS030</v>
      </c>
      <c r="B135" s="48" t="str">
        <f aca="false">'Assumptions &amp; Data'!B171</f>
        <v>Bengaluru</v>
      </c>
      <c r="C135" s="48" t="str">
        <f aca="false">'Assumptions &amp; Data'!C171</f>
        <v>Mixed use</v>
      </c>
      <c r="D135" s="37" t="n">
        <f aca="false">'Assumptions &amp; Data'!D171</f>
        <v>4</v>
      </c>
      <c r="E135" s="39" t="n">
        <f aca="false">SUMIFS('Financial Analysis'!$E$71:$E$790,'Financial Analysis'!$B$71:$B$790,$A135,'Financial Analysis'!$C$71:$C$790,"&gt;="&amp;'Assumptions &amp; Data'!$C$62)/'Assumptions &amp; Data'!$C$63</f>
        <v>202.771739130435</v>
      </c>
      <c r="F135" s="40" t="n">
        <f aca="false">SUMIFS('Financial Analysis'!$H$71:$H$790,'Financial Analysis'!$B$71:$B$790,$A135,'Financial Analysis'!$C$71:$C$790,"&gt;="&amp;'Assumptions &amp; Data'!$C$62)/'Assumptions &amp; Data'!$C$85/100000</f>
        <v>36.46212553</v>
      </c>
      <c r="G135" s="40" t="n">
        <f aca="false">SUMIFS('Financial Analysis'!$F$71:$F$790,'Financial Analysis'!$B$71:$B$790,$A135,'Financial Analysis'!$C$71:$C$790,"&gt;="&amp;'Assumptions &amp; Data'!$C$62)/SUMIFS('Financial Analysis'!$E$71:$E$790,'Financial Analysis'!$B$71:$B$790,$A135,'Financial Analysis'!$C$71:$C$790,"&gt;="&amp;'Assumptions &amp; Data'!$C$62)</f>
        <v>637.775363173412</v>
      </c>
      <c r="H135" s="49" t="n">
        <f aca="false">SUMIFS('Financial Analysis'!$G$71:$G$790,'Financial Analysis'!$B$71:$B$790,$A135,'Financial Analysis'!$C$71:$C$790,"&gt;="&amp;'Assumptions &amp; Data'!$C$62)/SUMIFS('Financial Analysis'!$F$71:$F$790,'Financial Analysis'!$B$71:$B$790,$A135,'Financial Analysis'!$C$71:$C$790,"&gt;="&amp;'Assumptions &amp; Data'!$C$62)</f>
        <v>0.0806090075699845</v>
      </c>
      <c r="I135" s="49" t="n">
        <f aca="false">SUMIFS('Financial Analysis'!$L$71:$L$790,'Financial Analysis'!$B$71:$B$790,$A135,'Financial Analysis'!$C$71:$C$790,"&gt;="&amp;'Assumptions &amp; Data'!$C$62)/SUMIFS('Financial Analysis'!$H$71:$H$790,'Financial Analysis'!$B$71:$B$790,$A135,'Financial Analysis'!$C$71:$C$790,"&gt;="&amp;'Assumptions &amp; Data'!$C$62)</f>
        <v>0.0355769448491809</v>
      </c>
      <c r="J135" s="40" t="n">
        <f aca="false">SUMIFS('Financial Analysis'!$N$71:$N$790,'Financial Analysis'!$B$71:$B$790,$A135,'Financial Analysis'!$C$71:$C$790,"&gt;="&amp;'Assumptions &amp; Data'!$C$62)/SUMIFS('Financial Analysis'!$E$71:$E$790,'Financial Analysis'!$B$71:$B$790,$A135,'Financial Analysis'!$C$71:$C$790,"&gt;="&amp;'Assumptions &amp; Data'!$C$62)</f>
        <v>48.6517587778076</v>
      </c>
      <c r="K135" s="40" t="n">
        <f aca="false">SUMIFS('Financial Analysis'!$R$71:$R$790,'Financial Analysis'!$B$71:$B$790,$A135,'Financial Analysis'!$C$71:$C$790,"&gt;="&amp;'Assumptions &amp; Data'!$C$62)/AVERAGEIFS('Assumptions &amp; Data'!$M$205:$M$924,'Assumptions &amp; Data'!$B$205:$B$924,$A135,'Assumptions &amp; Data'!$C$205:$C$924,"&gt;="&amp;'Assumptions &amp; Data'!$C$62)/'Assumptions &amp; Data'!$C$85</f>
        <v>16</v>
      </c>
      <c r="L135" s="40" t="n">
        <f aca="false">E135/K135</f>
        <v>12.6732336956522</v>
      </c>
      <c r="M135" s="40" t="n">
        <f aca="false">SUMIFS('Financial Analysis'!$Q$71:$Q$790,'Financial Analysis'!$B$71:$B$790,$A135,'Financial Analysis'!$C$71:$C$790,"&gt;="&amp;'Assumptions &amp; Data'!$C$62)/SUMIFS('Financial Analysis'!$E$71:$E$790,'Financial Analysis'!$B$71:$B$790,$A135,'Financial Analysis'!$C$71:$C$790,"&gt;="&amp;'Assumptions &amp; Data'!$C$62)</f>
        <v>34.3526086832937</v>
      </c>
      <c r="N135" s="40" t="n">
        <f aca="false">SUMIFS('Financial Analysis'!$Y$71:$Y$790,'Financial Analysis'!$B$71:$B$790,$A135,'Financial Analysis'!$C$71:$C$790,"&gt;="&amp;'Assumptions &amp; Data'!$C$62)/'Assumptions &amp; Data'!$C$85/100000</f>
        <v>13.6173533333333</v>
      </c>
      <c r="O135" s="40" t="n">
        <f aca="false">SUMIFS('Financial Analysis'!$V$71:$V$790,'Financial Analysis'!$B$71:$B$790,$A135,'Financial Analysis'!$C$71:$C$790,"&gt;="&amp;'Assumptions &amp; Data'!$C$62)/'Assumptions &amp; Data'!$C$85/100000</f>
        <v>-11.4811936167105</v>
      </c>
      <c r="P135" s="49" t="n">
        <f aca="false">O135/F135</f>
        <v>-0.314879987105089</v>
      </c>
      <c r="Q135" s="39" t="n">
        <f aca="false">IF(M135&gt;0,N135*100000/(M135*'Assumptions &amp; Data'!$C$63/'Assumptions &amp; Data'!$C$85),9999)</f>
        <v>1292.60672611082</v>
      </c>
      <c r="R135" s="49" t="n">
        <f aca="false">E135/Q135-1</f>
        <v>-0.843129596160672</v>
      </c>
      <c r="S135" s="50" t="n">
        <f aca="false">'Assumptions &amp; Data'!E171</f>
        <v>22.7</v>
      </c>
      <c r="T135" s="50" t="n">
        <f aca="false">'Assumptions &amp; Data'!G171</f>
        <v>1.8</v>
      </c>
      <c r="U135" s="49" t="n">
        <f aca="false">MAX(0,('Assumptions &amp; Data'!$C$72-T135)/'Assumptions &amp; Data'!$C$72)*'Assumptions &amp; Data'!$C$73</f>
        <v>0</v>
      </c>
      <c r="V135" s="39" t="n">
        <f aca="false">S135*$B$6*(1-U135)</f>
        <v>808.608633735015</v>
      </c>
      <c r="W135" s="49" t="n">
        <f aca="false">V135/E135-1</f>
        <v>2.98777777022897</v>
      </c>
      <c r="X135" s="39" t="n">
        <f aca="false">IF(D135&gt;='Assumptions &amp; Data'!$C$64,1,0)</f>
        <v>0</v>
      </c>
      <c r="Y135" s="40" t="str">
        <f aca="false">IF(AND(X135=1,T135&gt;='Assumptions &amp; Data'!$C$72),E135/S135,"")</f>
        <v/>
      </c>
      <c r="Z135" s="49" t="str">
        <f aca="false">IF(X135=1,H135,"")</f>
        <v/>
      </c>
      <c r="AA135" s="49" t="str">
        <f aca="false">IF(X135=1,I135,"")</f>
        <v/>
      </c>
      <c r="AB135" s="40" t="str">
        <f aca="false">IF(X135=1,J135,"")</f>
        <v/>
      </c>
      <c r="AC135" s="40" t="str">
        <f aca="false">IF(X135=1,L135,"")</f>
        <v/>
      </c>
      <c r="AD135" s="40" t="str">
        <f aca="false">IF(X135=1,AP135/E135*100,"")</f>
        <v/>
      </c>
      <c r="AE135" s="40" t="str">
        <f aca="false">IF(X135=1,M135,"")</f>
        <v/>
      </c>
      <c r="AF135" s="40" t="n">
        <f aca="false">E135*'Assumptions &amp; Data'!$C$63/'Assumptions &amp; Data'!$C$85*G135/100000</f>
        <v>39.658998</v>
      </c>
      <c r="AG135" s="49" t="n">
        <f aca="false">MAX(0,H135-$B$7)</f>
        <v>0.0258039075667277</v>
      </c>
      <c r="AH135" s="40" t="n">
        <f aca="false">AG135*AF135</f>
        <v>1.02335711858104</v>
      </c>
      <c r="AI135" s="40" t="n">
        <f aca="false">AG135*100*E135*'Assumptions &amp; Data'!$C$63/'Assumptions &amp; Data'!$C$85*M135/100000</f>
        <v>5.51212678755023</v>
      </c>
      <c r="AJ135" s="49" t="n">
        <f aca="false">MAX(0,I135-$B$8)</f>
        <v>0.0141723511388938</v>
      </c>
      <c r="AK135" s="40" t="n">
        <f aca="false">AJ135*F135</f>
        <v>0.516754046281583</v>
      </c>
      <c r="AL135" s="40" t="n">
        <f aca="false">MAX(0,K135-E135/$B$10)</f>
        <v>10.6873965606532</v>
      </c>
      <c r="AM135" s="40" t="n">
        <f aca="false">AL135*BN135/K135</f>
        <v>2.37260203646501</v>
      </c>
      <c r="AN135" s="40" t="n">
        <f aca="false">MAX(0,J135-$B$9)</f>
        <v>10.4456021813468</v>
      </c>
      <c r="AO135" s="40" t="n">
        <f aca="false">AN135*E135*'Assumptions &amp; Data'!$C$63/'Assumptions &amp; Data'!$C$85/100000</f>
        <v>0.649542362310082</v>
      </c>
      <c r="AP135" s="37" t="n">
        <f aca="false">'Assumptions &amp; Data'!H171</f>
        <v>5000</v>
      </c>
      <c r="AQ135" s="39" t="n">
        <f aca="false">MIN(AP135,$B$11*E135/100)</f>
        <v>779.123731244379</v>
      </c>
      <c r="AR135" s="39" t="n">
        <f aca="false">IF(AP135-AQ135&gt;'Assumptions &amp; Data'!$C$78*AP135,AP135-AQ135,0)</f>
        <v>4220.87626875562</v>
      </c>
      <c r="AS135" s="50" t="n">
        <f aca="false">'Assumptions &amp; Data'!I171</f>
        <v>143</v>
      </c>
      <c r="AT135" s="40" t="n">
        <f aca="false">INDEX('Assumptions &amp; Data'!$B$89:$E$94,MATCH(B135,'Assumptions &amp; Data'!$A$89:$A$94,0),MATCH(C135,'Assumptions &amp; Data'!$B$88:$E$88,0))</f>
        <v>149</v>
      </c>
      <c r="AU135" s="39" t="n">
        <f aca="false">IF(BY135&lt;='Assumptions &amp; Data'!$C$79,1,0)</f>
        <v>0</v>
      </c>
      <c r="AV135" s="40" t="n">
        <f aca="false">AU135*(AR135*AS135+MAX(0,AS135-AT135)*(AP135-AR135))/100000</f>
        <v>0</v>
      </c>
      <c r="AW135" s="40" t="n">
        <f aca="false">'Assumptions &amp; Data'!$C$67*(AH135-'Assumptions &amp; Data'!$C$68*AI135+AK135+AM135+AO135+AV135)</f>
        <v>2.70428057745732</v>
      </c>
      <c r="AX135" s="40" t="n">
        <f aca="false">O135+AW135</f>
        <v>-8.7769130392532</v>
      </c>
      <c r="AY135" s="49" t="n">
        <f aca="false">IF(D135&lt;'Assumptions &amp; Data'!$C$64,'Assumptions &amp; Data'!$C$70,'Assumptions &amp; Data'!$C$69)</f>
        <v>0.8</v>
      </c>
      <c r="AZ135" s="40" t="n">
        <f aca="false">AY135*MAX(0,V135-E135)*'Assumptions &amp; Data'!$C$63/'Assumptions &amp; Data'!$C$85*(M135-'Assumptions &amp; Data'!$C$71)/100000</f>
        <v>3.61957656389083</v>
      </c>
      <c r="BA135" s="40" t="n">
        <f aca="false">AX135+AZ135</f>
        <v>-5.15733647536237</v>
      </c>
      <c r="BB135" s="40" t="n">
        <f aca="false">BA135+(1-'Assumptions &amp; Data'!$C$67)*AV135</f>
        <v>-5.15733647536237</v>
      </c>
      <c r="BC135" s="48" t="str">
        <f aca="false">'Assumptions &amp; Data'!F171</f>
        <v>DS027</v>
      </c>
      <c r="BD135" s="39" t="n">
        <f aca="false">INDEX('Assumptions &amp; Data'!$K$142:$K$201,MATCH(BC135,'Assumptions &amp; Data'!$A$142:$A$201,0))*'Assumptions &amp; Data'!$C$77</f>
        <v>1296</v>
      </c>
      <c r="BE135" s="39" t="n">
        <f aca="false">MAX(0,BD135-INDEX($E$106:$E$165,MATCH(BC135,$A$106:$A$165,0)))</f>
        <v>945.021739130435</v>
      </c>
      <c r="BF135" s="39" t="n">
        <f aca="false">IF(T135&lt;='Assumptions &amp; Data'!$C$74,MIN('Assumptions &amp; Data'!$C$76*E135,BE135),0)</f>
        <v>121.663043478261</v>
      </c>
      <c r="BG135" s="40" t="n">
        <f aca="false">-O135+BF135*'Assumptions &amp; Data'!$C$63/'Assumptions &amp; Data'!$C$85*($B$12-'Assumptions &amp; Data'!$C$71)/100000</f>
        <v>13.5234323219727</v>
      </c>
      <c r="BH135" s="40" t="n">
        <f aca="false">(AS135*AP135*BY135*'Assumptions &amp; Data'!$C$82+K135*(BN135*100000/K135)*'Assumptions &amp; Data'!$C$80*(1-'Assumptions &amp; Data'!$C$81)+AP135*'Assumptions &amp; Data'!$C$83)/100000</f>
        <v>94.9968</v>
      </c>
      <c r="BI135" s="40" t="n">
        <f aca="false">'Assumptions &amp; Data'!L171*MAX(0,1-D135/'Assumptions &amp; Data'!$C$84)</f>
        <v>161.904761904762</v>
      </c>
      <c r="BJ135" s="40" t="n">
        <f aca="false">IF(BG135&gt;0,BH135/BG135,99)</f>
        <v>7.0246071957376</v>
      </c>
      <c r="BK135" s="2" t="str">
        <f aca="false">IF(AND(P135&gt;='Assumptions &amp; Data'!$C$65,R135&gt;=0,W135&gt;='Assumptions &amp; Data'!$C$66),"Scale",IF(OR(O135&gt;=0,AX135&gt;=0),"Optimise",IF(BA135&gt;=0,"Turn around",IF(BB135&gt;=0,"Relocate or resize",IF(AND(BF135&gt;0,BJ135&lt;='Assumptions &amp; Data'!$C$75,D135&gt;='Assumptions &amp; Data'!$C$64),"Close","Relocate or resize")))))</f>
        <v>Relocate or resize</v>
      </c>
      <c r="BL135" s="42" t="str">
        <f aca="false">INDEX($BK$106:$BK$165,MATCH(BC135,$A$106:$A$165,0))</f>
        <v>Relocate or resize</v>
      </c>
      <c r="BM135" s="42" t="str">
        <f aca="false">IF(RANK(P135,$P$106:$P$165)&lt;=ROUND(COUNT($P$106:$P$165)/4,0),"Q1 top",IF(RANK(P135,$P$106:$P$165)&gt;COUNT($P$106:$P$165)-ROUND(COUNT($P$106:$P$165)/4,0),"Q4 bottom","Q2-Q3 middle"))</f>
        <v>Q4 bottom</v>
      </c>
      <c r="BN135" s="40" t="n">
        <f aca="false">SUMIFS('Financial Analysis'!$R$71:$R$790,'Financial Analysis'!$B$71:$B$790,$A135,'Financial Analysis'!$C$71:$C$790,"&gt;="&amp;'Assumptions &amp; Data'!$C$62)/'Assumptions &amp; Data'!$C$85/100000</f>
        <v>3.552</v>
      </c>
      <c r="BO135" s="40" t="n">
        <f aca="false">SUMIFS('Financial Analysis'!$H$71:$H$790,'Financial Analysis'!$B$71:$B$790,$A135,'Financial Analysis'!$C$71:$C$790,"&gt;="&amp;'Assumptions &amp; Data'!$C$62)/SUMIFS('Financial Analysis'!$E$71:$E$790,'Financial Analysis'!$B$71:$B$790,$A135,'Financial Analysis'!$C$71:$C$790,"&gt;="&amp;'Assumptions &amp; Data'!$C$62)</f>
        <v>586.364924095417</v>
      </c>
      <c r="BP135" s="40" t="n">
        <f aca="false">(SUMIFS('Financial Analysis'!$I$71:$I$790,'Financial Analysis'!$B$71:$B$790,$A135,'Financial Analysis'!$C$71:$C$790,"&gt;="&amp;'Assumptions &amp; Data'!$C$62)+SUMIFS('Financial Analysis'!$J$71:$J$790,'Financial Analysis'!$B$71:$B$790,$A135,'Financial Analysis'!$C$71:$C$790,"&gt;="&amp;'Assumptions &amp; Data'!$C$62)+SUMIFS('Financial Analysis'!$K$71:$K$790,'Financial Analysis'!$B$71:$B$790,$A135,'Financial Analysis'!$C$71:$C$790,"&gt;="&amp;'Assumptions &amp; Data'!$C$62))/SUMIFS('Financial Analysis'!$E$71:$E$790,'Financial Analysis'!$B$71:$B$790,$A135,'Financial Analysis'!$C$71:$C$790,"&gt;="&amp;'Assumptions &amp; Data'!$C$62)</f>
        <v>120.538325772928</v>
      </c>
      <c r="BQ135" s="40" t="n">
        <f aca="false">SUMIFS('Financial Analysis'!$L$71:$L$790,'Financial Analysis'!$B$71:$B$790,$A135,'Financial Analysis'!$C$71:$C$790,"&gt;="&amp;'Assumptions &amp; Data'!$C$62)/SUMIFS('Financial Analysis'!$E$71:$E$790,'Financial Analysis'!$B$71:$B$790,$A135,'Financial Analysis'!$C$71:$C$790,"&gt;="&amp;'Assumptions &amp; Data'!$C$62)</f>
        <v>20.8610725660368</v>
      </c>
      <c r="BR135" s="40" t="n">
        <f aca="false">SUMIFS('Financial Analysis'!$L$71:$L$790,'Financial Analysis'!$B$71:$B$790,$A135,'Financial Analysis'!$C$71:$C$790,"&gt;="&amp;'Assumptions &amp; Data'!$C$62)/SUMIFS('Financial Analysis'!$E$71:$E$790,'Financial Analysis'!$B$71:$B$790,$A135,'Financial Analysis'!$C$71:$C$790,"&gt;="&amp;'Assumptions &amp; Data'!$C$62)</f>
        <v>20.8610725660368</v>
      </c>
      <c r="BS135" s="40" t="n">
        <f aca="false">SUMIFS('Financial Analysis'!$N$71:$N$790,'Financial Analysis'!$B$71:$B$790,$A135,'Financial Analysis'!$C$71:$C$790,"&gt;="&amp;'Assumptions &amp; Data'!$C$62)/SUMIFS('Financial Analysis'!$E$71:$E$790,'Financial Analysis'!$B$71:$B$790,$A135,'Financial Analysis'!$C$71:$C$790,"&gt;="&amp;'Assumptions &amp; Data'!$C$62)</f>
        <v>48.6517587778076</v>
      </c>
      <c r="BT135" s="40" t="n">
        <f aca="false">(SUMIFS('Financial Analysis'!$O$71:$O$790,'Financial Analysis'!$B$71:$B$790,$A135,'Financial Analysis'!$C$71:$C$790,"&gt;="&amp;'Assumptions &amp; Data'!$C$62)+SUMIFS('Financial Analysis'!$P$71:$P$790,'Financial Analysis'!$B$71:$B$790,$A135,'Financial Analysis'!$C$71:$C$790,"&gt;="&amp;'Assumptions &amp; Data'!$C$62))/SUMIFS('Financial Analysis'!$E$71:$E$790,'Financial Analysis'!$B$71:$B$790,$A135,'Financial Analysis'!$C$71:$C$790,"&gt;="&amp;'Assumptions &amp; Data'!$C$62)</f>
        <v>16.6728857457898</v>
      </c>
      <c r="BU135" s="40" t="n">
        <f aca="false">SUMIFS('Financial Analysis'!$R$71:$R$790,'Financial Analysis'!$B$71:$B$790,$A135,'Financial Analysis'!$C$71:$C$790,"&gt;="&amp;'Assumptions &amp; Data'!$C$62)/SUMIFS('Financial Analysis'!$E$71:$E$790,'Financial Analysis'!$B$71:$B$790,$A135,'Financial Analysis'!$C$71:$C$790,"&gt;="&amp;'Assumptions &amp; Data'!$C$62)</f>
        <v>57.1214151701957</v>
      </c>
      <c r="BV135" s="40" t="n">
        <f aca="false">SUMIFS('Financial Analysis'!$S$71:$S$790,'Financial Analysis'!$B$71:$B$790,$A135,'Financial Analysis'!$C$71:$C$790,"&gt;="&amp;'Assumptions &amp; Data'!$C$62)/SUMIFS('Financial Analysis'!$E$71:$E$790,'Financial Analysis'!$B$71:$B$790,$A135,'Financial Analysis'!$C$71:$C$790,"&gt;="&amp;'Assumptions &amp; Data'!$C$62)</f>
        <v>114.982578397213</v>
      </c>
      <c r="BW135" s="40" t="n">
        <f aca="false">(SUMIFS('Financial Analysis'!$T$71:$T$790,'Financial Analysis'!$B$71:$B$790,$A135,'Financial Analysis'!$C$71:$C$790,"&gt;="&amp;'Assumptions &amp; Data'!$C$62)+SUMIFS('Financial Analysis'!$U$71:$U$790,'Financial Analysis'!$B$71:$B$790,$A135,'Financial Analysis'!$C$71:$C$790,"&gt;="&amp;'Assumptions &amp; Data'!$C$62))/SUMIFS('Financial Analysis'!$E$71:$E$790,'Financial Analysis'!$B$71:$B$790,$A135,'Financial Analysis'!$C$71:$C$790,"&gt;="&amp;'Assumptions &amp; Data'!$C$62)</f>
        <v>46.8831948539266</v>
      </c>
      <c r="BX135" s="40" t="n">
        <f aca="false">SUMIFS('Financial Analysis'!$V$71:$V$790,'Financial Analysis'!$B$71:$B$790,$A135,'Financial Analysis'!$C$71:$C$790,"&gt;="&amp;'Assumptions &amp; Data'!$C$62)/SUMIFS('Financial Analysis'!$E$71:$E$790,'Financial Analysis'!$B$71:$B$790,$A135,'Financial Analysis'!$C$71:$C$790,"&gt;="&amp;'Assumptions &amp; Data'!$C$62)</f>
        <v>-184.634579738041</v>
      </c>
      <c r="BY135" s="37" t="n">
        <f aca="false">'Assumptions &amp; Data'!J171</f>
        <v>24</v>
      </c>
      <c r="BZ135" s="39" t="str">
        <f aca="false">IF(BK135="Close",COUNTIF($BK$106:BK135,"Close"),"")</f>
        <v/>
      </c>
    </row>
    <row r="136" customFormat="false" ht="15" hidden="false" customHeight="false" outlineLevel="0" collapsed="false">
      <c r="A136" s="48" t="str">
        <f aca="false">'Assumptions &amp; Data'!A172</f>
        <v>DS031</v>
      </c>
      <c r="B136" s="48" t="str">
        <f aca="false">'Assumptions &amp; Data'!B172</f>
        <v>Bengaluru</v>
      </c>
      <c r="C136" s="48" t="str">
        <f aca="false">'Assumptions &amp; Data'!C172</f>
        <v>Mixed use</v>
      </c>
      <c r="D136" s="37" t="n">
        <f aca="false">'Assumptions &amp; Data'!D172</f>
        <v>44</v>
      </c>
      <c r="E136" s="39" t="n">
        <f aca="false">SUMIFS('Financial Analysis'!$E$71:$E$790,'Financial Analysis'!$B$71:$B$790,$A136,'Financial Analysis'!$C$71:$C$790,"&gt;="&amp;'Assumptions &amp; Data'!$C$62)/'Assumptions &amp; Data'!$C$63</f>
        <v>1296.66304347826</v>
      </c>
      <c r="F136" s="40" t="n">
        <f aca="false">SUMIFS('Financial Analysis'!$H$71:$H$790,'Financial Analysis'!$B$71:$B$790,$A136,'Financial Analysis'!$C$71:$C$790,"&gt;="&amp;'Assumptions &amp; Data'!$C$62)/'Assumptions &amp; Data'!$C$85/100000</f>
        <v>248.669147317867</v>
      </c>
      <c r="G136" s="40" t="n">
        <f aca="false">SUMIFS('Financial Analysis'!$F$71:$F$790,'Financial Analysis'!$B$71:$B$790,$A136,'Financial Analysis'!$C$71:$C$790,"&gt;="&amp;'Assumptions &amp; Data'!$C$62)/SUMIFS('Financial Analysis'!$E$71:$E$790,'Financial Analysis'!$B$71:$B$790,$A136,'Financial Analysis'!$C$71:$C$790,"&gt;="&amp;'Assumptions &amp; Data'!$C$62)</f>
        <v>659.033021216668</v>
      </c>
      <c r="H136" s="49" t="n">
        <f aca="false">SUMIFS('Financial Analysis'!$G$71:$G$790,'Financial Analysis'!$B$71:$B$790,$A136,'Financial Analysis'!$C$71:$C$790,"&gt;="&amp;'Assumptions &amp; Data'!$C$62)/SUMIFS('Financial Analysis'!$F$71:$F$790,'Financial Analysis'!$B$71:$B$790,$A136,'Financial Analysis'!$C$71:$C$790,"&gt;="&amp;'Assumptions &amp; Data'!$C$62)</f>
        <v>0.0510987390400804</v>
      </c>
      <c r="I136" s="49" t="n">
        <f aca="false">SUMIFS('Financial Analysis'!$L$71:$L$790,'Financial Analysis'!$B$71:$B$790,$A136,'Financial Analysis'!$C$71:$C$790,"&gt;="&amp;'Assumptions &amp; Data'!$C$62)/SUMIFS('Financial Analysis'!$H$71:$H$790,'Financial Analysis'!$B$71:$B$790,$A136,'Financial Analysis'!$C$71:$C$790,"&gt;="&amp;'Assumptions &amp; Data'!$C$62)</f>
        <v>0.0226619000809668</v>
      </c>
      <c r="J136" s="40" t="n">
        <f aca="false">SUMIFS('Financial Analysis'!$N$71:$N$790,'Financial Analysis'!$B$71:$B$790,$A136,'Financial Analysis'!$C$71:$C$790,"&gt;="&amp;'Assumptions &amp; Data'!$C$62)/SUMIFS('Financial Analysis'!$E$71:$E$790,'Financial Analysis'!$B$71:$B$790,$A136,'Financial Analysis'!$C$71:$C$790,"&gt;="&amp;'Assumptions &amp; Data'!$C$62)</f>
        <v>37.685241548121</v>
      </c>
      <c r="K136" s="40" t="n">
        <f aca="false">SUMIFS('Financial Analysis'!$R$71:$R$790,'Financial Analysis'!$B$71:$B$790,$A136,'Financial Analysis'!$C$71:$C$790,"&gt;="&amp;'Assumptions &amp; Data'!$C$62)/AVERAGEIFS('Assumptions &amp; Data'!$M$205:$M$924,'Assumptions &amp; Data'!$B$205:$B$924,$A136,'Assumptions &amp; Data'!$C$205:$C$924,"&gt;="&amp;'Assumptions &amp; Data'!$C$62)/'Assumptions &amp; Data'!$C$85</f>
        <v>34.3333333333333</v>
      </c>
      <c r="L136" s="40" t="n">
        <f aca="false">E136/K136</f>
        <v>37.7668847615027</v>
      </c>
      <c r="M136" s="40" t="n">
        <f aca="false">SUMIFS('Financial Analysis'!$Q$71:$Q$790,'Financial Analysis'!$B$71:$B$790,$A136,'Financial Analysis'!$C$71:$C$790,"&gt;="&amp;'Assumptions &amp; Data'!$C$62)/SUMIFS('Financial Analysis'!$E$71:$E$790,'Financial Analysis'!$B$71:$B$790,$A136,'Financial Analysis'!$C$71:$C$790,"&gt;="&amp;'Assumptions &amp; Data'!$C$62)</f>
        <v>68.1720675742578</v>
      </c>
      <c r="N136" s="40" t="n">
        <f aca="false">SUMIFS('Financial Analysis'!$Y$71:$Y$790,'Financial Analysis'!$B$71:$B$790,$A136,'Financial Analysis'!$C$71:$C$790,"&gt;="&amp;'Assumptions &amp; Data'!$C$62)/'Assumptions &amp; Data'!$C$85/100000</f>
        <v>16.9416333333333</v>
      </c>
      <c r="O136" s="40" t="n">
        <f aca="false">SUMIFS('Financial Analysis'!$V$71:$V$790,'Financial Analysis'!$B$71:$B$790,$A136,'Financial Analysis'!$C$71:$C$790,"&gt;="&amp;'Assumptions &amp; Data'!$C$62)/'Assumptions &amp; Data'!$C$85/100000</f>
        <v>10.1665348571198</v>
      </c>
      <c r="P136" s="49" t="n">
        <f aca="false">O136/F136</f>
        <v>0.0408837805846665</v>
      </c>
      <c r="Q136" s="39" t="n">
        <f aca="false">IF(M136&gt;0,N136*100000/(M136*'Assumptions &amp; Data'!$C$63/'Assumptions &amp; Data'!$C$85),9999)</f>
        <v>810.367918818995</v>
      </c>
      <c r="R136" s="49" t="n">
        <f aca="false">E136/Q136-1</f>
        <v>0.600091777285529</v>
      </c>
      <c r="S136" s="50" t="n">
        <f aca="false">'Assumptions &amp; Data'!E172</f>
        <v>42.2</v>
      </c>
      <c r="T136" s="50" t="n">
        <f aca="false">'Assumptions &amp; Data'!G172</f>
        <v>3.3</v>
      </c>
      <c r="U136" s="49" t="n">
        <f aca="false">MAX(0,('Assumptions &amp; Data'!$C$72-T136)/'Assumptions &amp; Data'!$C$72)*'Assumptions &amp; Data'!$C$73</f>
        <v>0</v>
      </c>
      <c r="V136" s="39" t="n">
        <f aca="false">S136*$B$6*(1-U136)</f>
        <v>1503.22838518139</v>
      </c>
      <c r="W136" s="49" t="n">
        <f aca="false">V136/E136-1</f>
        <v>0.159305335909804</v>
      </c>
      <c r="X136" s="39" t="n">
        <f aca="false">IF(D136&gt;='Assumptions &amp; Data'!$C$64,1,0)</f>
        <v>1</v>
      </c>
      <c r="Y136" s="40" t="n">
        <f aca="false">IF(AND(X136=1,T136&gt;='Assumptions &amp; Data'!$C$72),E136/S136,"")</f>
        <v>30.7266124046981</v>
      </c>
      <c r="Z136" s="49" t="n">
        <f aca="false">IF(X136=1,H136,"")</f>
        <v>0.0510987390400804</v>
      </c>
      <c r="AA136" s="49" t="n">
        <f aca="false">IF(X136=1,I136,"")</f>
        <v>0.0226619000809668</v>
      </c>
      <c r="AB136" s="40" t="n">
        <f aca="false">IF(X136=1,J136,"")</f>
        <v>37.685241548121</v>
      </c>
      <c r="AC136" s="40" t="n">
        <f aca="false">IF(X136=1,L136,"")</f>
        <v>37.7668847615027</v>
      </c>
      <c r="AD136" s="40" t="n">
        <f aca="false">IF(X136=1,AP136/E136*100,"")</f>
        <v>269.923633406822</v>
      </c>
      <c r="AE136" s="40" t="n">
        <f aca="false">IF(X136=1,M136,"")</f>
        <v>68.1720675742578</v>
      </c>
      <c r="AF136" s="40" t="n">
        <f aca="false">E136*'Assumptions &amp; Data'!$C$63/'Assumptions &amp; Data'!$C$85*G136/100000</f>
        <v>262.060087333333</v>
      </c>
      <c r="AG136" s="49" t="n">
        <f aca="false">MAX(0,H136-$B$7)</f>
        <v>0</v>
      </c>
      <c r="AH136" s="40" t="n">
        <f aca="false">AG136*AF136</f>
        <v>0</v>
      </c>
      <c r="AI136" s="40" t="n">
        <f aca="false">AG136*100*E136*'Assumptions &amp; Data'!$C$63/'Assumptions &amp; Data'!$C$85*M136/100000</f>
        <v>0</v>
      </c>
      <c r="AJ136" s="49" t="n">
        <f aca="false">MAX(0,I136-$B$8)</f>
        <v>0.00125730637067975</v>
      </c>
      <c r="AK136" s="40" t="n">
        <f aca="false">AJ136*F136</f>
        <v>0.312653303114254</v>
      </c>
      <c r="AL136" s="40" t="n">
        <f aca="false">MAX(0,K136-E136/$B$10)</f>
        <v>0.360864714196332</v>
      </c>
      <c r="AM136" s="40" t="n">
        <f aca="false">AL136*BN136/K136</f>
        <v>0.0801119665515856</v>
      </c>
      <c r="AN136" s="40" t="n">
        <f aca="false">MAX(0,J136-$B$9)</f>
        <v>0</v>
      </c>
      <c r="AO136" s="40" t="n">
        <f aca="false">AN136*E136*'Assumptions &amp; Data'!$C$63/'Assumptions &amp; Data'!$C$85/100000</f>
        <v>0</v>
      </c>
      <c r="AP136" s="37" t="n">
        <f aca="false">'Assumptions &amp; Data'!H172</f>
        <v>3500</v>
      </c>
      <c r="AQ136" s="39" t="n">
        <f aca="false">MIN(AP136,$B$11*E136/100)</f>
        <v>3500</v>
      </c>
      <c r="AR136" s="39" t="n">
        <f aca="false">IF(AP136-AQ136&gt;'Assumptions &amp; Data'!$C$78*AP136,AP136-AQ136,0)</f>
        <v>0</v>
      </c>
      <c r="AS136" s="50" t="n">
        <f aca="false">'Assumptions &amp; Data'!I172</f>
        <v>174</v>
      </c>
      <c r="AT136" s="40" t="n">
        <f aca="false">INDEX('Assumptions &amp; Data'!$B$89:$E$94,MATCH(B136,'Assumptions &amp; Data'!$A$89:$A$94,0),MATCH(C136,'Assumptions &amp; Data'!$B$88:$E$88,0))</f>
        <v>149</v>
      </c>
      <c r="AU136" s="39" t="n">
        <f aca="false">IF(BY136&lt;='Assumptions &amp; Data'!$C$79,1,0)</f>
        <v>0</v>
      </c>
      <c r="AV136" s="40" t="n">
        <f aca="false">AU136*(AR136*AS136+MAX(0,AS136-AT136)*(AP136-AR136))/100000</f>
        <v>0</v>
      </c>
      <c r="AW136" s="40" t="n">
        <f aca="false">'Assumptions &amp; Data'!$C$67*(AH136-'Assumptions &amp; Data'!$C$68*AI136+AK136+AM136+AO136+AV136)</f>
        <v>0.235659161799504</v>
      </c>
      <c r="AX136" s="40" t="n">
        <f aca="false">O136+AW136</f>
        <v>10.4021940189193</v>
      </c>
      <c r="AY136" s="49" t="n">
        <f aca="false">IF(D136&lt;'Assumptions &amp; Data'!$C$64,'Assumptions &amp; Data'!$C$70,'Assumptions &amp; Data'!$C$69)</f>
        <v>0.5</v>
      </c>
      <c r="AZ136" s="40" t="n">
        <f aca="false">AY136*MAX(0,V136-E136)*'Assumptions &amp; Data'!$C$63/'Assumptions &amp; Data'!$C$85*(M136-'Assumptions &amp; Data'!$C$71)/100000</f>
        <v>1.84250439579499</v>
      </c>
      <c r="BA136" s="40" t="n">
        <f aca="false">AX136+AZ136</f>
        <v>12.2446984147143</v>
      </c>
      <c r="BB136" s="40" t="n">
        <f aca="false">BA136+(1-'Assumptions &amp; Data'!$C$67)*AV136</f>
        <v>12.2446984147143</v>
      </c>
      <c r="BC136" s="48" t="str">
        <f aca="false">'Assumptions &amp; Data'!F172</f>
        <v>DS034</v>
      </c>
      <c r="BD136" s="39" t="n">
        <f aca="false">INDEX('Assumptions &amp; Data'!$K$142:$K$201,MATCH(BC136,'Assumptions &amp; Data'!$A$142:$A$201,0))*'Assumptions &amp; Data'!$C$77</f>
        <v>1458</v>
      </c>
      <c r="BE136" s="39" t="n">
        <f aca="false">MAX(0,BD136-INDEX($E$106:$E$165,MATCH(BC136,$A$106:$A$165,0)))</f>
        <v>277.641304347826</v>
      </c>
      <c r="BF136" s="39" t="n">
        <f aca="false">IF(T136&lt;='Assumptions &amp; Data'!$C$74,MIN('Assumptions &amp; Data'!$C$76*E136,BE136),0)</f>
        <v>0</v>
      </c>
      <c r="BG136" s="40" t="n">
        <f aca="false">-O136+BF136*'Assumptions &amp; Data'!$C$63/'Assumptions &amp; Data'!$C$85*($B$12-'Assumptions &amp; Data'!$C$71)/100000</f>
        <v>-10.1665348571198</v>
      </c>
      <c r="BH136" s="40" t="n">
        <f aca="false">(AS136*AP136*BY136*'Assumptions &amp; Data'!$C$82+K136*(BN136*100000/K136)*'Assumptions &amp; Data'!$C$80*(1-'Assumptions &amp; Data'!$C$81)+AP136*'Assumptions &amp; Data'!$C$83)/100000</f>
        <v>65.8698</v>
      </c>
      <c r="BI136" s="40" t="n">
        <f aca="false">'Assumptions &amp; Data'!L172*MAX(0,1-D136/'Assumptions &amp; Data'!$C$84)</f>
        <v>56.6666666666667</v>
      </c>
      <c r="BJ136" s="40" t="n">
        <f aca="false">IF(BG136&gt;0,BH136/BG136,99)</f>
        <v>99</v>
      </c>
      <c r="BK136" s="2" t="str">
        <f aca="false">IF(AND(P136&gt;='Assumptions &amp; Data'!$C$65,R136&gt;=0,W136&gt;='Assumptions &amp; Data'!$C$66),"Scale",IF(OR(O136&gt;=0,AX136&gt;=0),"Optimise",IF(BA136&gt;=0,"Turn around",IF(BB136&gt;=0,"Relocate or resize",IF(AND(BF136&gt;0,BJ136&lt;='Assumptions &amp; Data'!$C$75,D136&gt;='Assumptions &amp; Data'!$C$64),"Close","Relocate or resize")))))</f>
        <v>Scale</v>
      </c>
      <c r="BL136" s="42" t="str">
        <f aca="false">INDEX($BK$106:$BK$165,MATCH(BC136,$A$106:$A$165,0))</f>
        <v>Scale</v>
      </c>
      <c r="BM136" s="42" t="str">
        <f aca="false">IF(RANK(P136,$P$106:$P$165)&lt;=ROUND(COUNT($P$106:$P$165)/4,0),"Q1 top",IF(RANK(P136,$P$106:$P$165)&gt;COUNT($P$106:$P$165)-ROUND(COUNT($P$106:$P$165)/4,0),"Q4 bottom","Q2-Q3 middle"))</f>
        <v>Q1 top</v>
      </c>
      <c r="BN136" s="40" t="n">
        <f aca="false">SUMIFS('Financial Analysis'!$R$71:$R$790,'Financial Analysis'!$B$71:$B$790,$A136,'Financial Analysis'!$C$71:$C$790,"&gt;="&amp;'Assumptions &amp; Data'!$C$62)/'Assumptions &amp; Data'!$C$85/100000</f>
        <v>7.622</v>
      </c>
      <c r="BO136" s="40" t="n">
        <f aca="false">SUMIFS('Financial Analysis'!$H$71:$H$790,'Financial Analysis'!$B$71:$B$790,$A136,'Financial Analysis'!$C$71:$C$790,"&gt;="&amp;'Assumptions &amp; Data'!$C$62)/SUMIFS('Financial Analysis'!$E$71:$E$790,'Financial Analysis'!$B$71:$B$790,$A136,'Financial Analysis'!$C$71:$C$790,"&gt;="&amp;'Assumptions &amp; Data'!$C$62)</f>
        <v>625.357264846722</v>
      </c>
      <c r="BP136" s="40" t="n">
        <f aca="false">(SUMIFS('Financial Analysis'!$I$71:$I$790,'Financial Analysis'!$B$71:$B$790,$A136,'Financial Analysis'!$C$71:$C$790,"&gt;="&amp;'Assumptions &amp; Data'!$C$62)+SUMIFS('Financial Analysis'!$J$71:$J$790,'Financial Analysis'!$B$71:$B$790,$A136,'Financial Analysis'!$C$71:$C$790,"&gt;="&amp;'Assumptions &amp; Data'!$C$62)+SUMIFS('Financial Analysis'!$K$71:$K$790,'Financial Analysis'!$B$71:$B$790,$A136,'Financial Analysis'!$C$71:$C$790,"&gt;="&amp;'Assumptions &amp; Data'!$C$62))/SUMIFS('Financial Analysis'!$E$71:$E$790,'Financial Analysis'!$B$71:$B$790,$A136,'Financial Analysis'!$C$71:$C$790,"&gt;="&amp;'Assumptions &amp; Data'!$C$62)</f>
        <v>136.934032041867</v>
      </c>
      <c r="BQ136" s="40" t="n">
        <f aca="false">SUMIFS('Financial Analysis'!$L$71:$L$790,'Financial Analysis'!$B$71:$B$790,$A136,'Financial Analysis'!$C$71:$C$790,"&gt;="&amp;'Assumptions &amp; Data'!$C$62)/SUMIFS('Financial Analysis'!$E$71:$E$790,'Financial Analysis'!$B$71:$B$790,$A136,'Financial Analysis'!$C$71:$C$790,"&gt;="&amp;'Assumptions &amp; Data'!$C$62)</f>
        <v>14.1717838508631</v>
      </c>
      <c r="BR136" s="40" t="n">
        <f aca="false">SUMIFS('Financial Analysis'!$L$71:$L$790,'Financial Analysis'!$B$71:$B$790,$A136,'Financial Analysis'!$C$71:$C$790,"&gt;="&amp;'Assumptions &amp; Data'!$C$62)/SUMIFS('Financial Analysis'!$E$71:$E$790,'Financial Analysis'!$B$71:$B$790,$A136,'Financial Analysis'!$C$71:$C$790,"&gt;="&amp;'Assumptions &amp; Data'!$C$62)</f>
        <v>14.1717838508631</v>
      </c>
      <c r="BS136" s="40" t="n">
        <f aca="false">SUMIFS('Financial Analysis'!$N$71:$N$790,'Financial Analysis'!$B$71:$B$790,$A136,'Financial Analysis'!$C$71:$C$790,"&gt;="&amp;'Assumptions &amp; Data'!$C$62)/SUMIFS('Financial Analysis'!$E$71:$E$790,'Financial Analysis'!$B$71:$B$790,$A136,'Financial Analysis'!$C$71:$C$790,"&gt;="&amp;'Assumptions &amp; Data'!$C$62)</f>
        <v>37.685241548121</v>
      </c>
      <c r="BT136" s="40" t="n">
        <f aca="false">(SUMIFS('Financial Analysis'!$O$71:$O$790,'Financial Analysis'!$B$71:$B$790,$A136,'Financial Analysis'!$C$71:$C$790,"&gt;="&amp;'Assumptions &amp; Data'!$C$62)+SUMIFS('Financial Analysis'!$P$71:$P$790,'Financial Analysis'!$B$71:$B$790,$A136,'Financial Analysis'!$C$71:$C$790,"&gt;="&amp;'Assumptions &amp; Data'!$C$62))/SUMIFS('Financial Analysis'!$E$71:$E$790,'Financial Analysis'!$B$71:$B$790,$A136,'Financial Analysis'!$C$71:$C$790,"&gt;="&amp;'Assumptions &amp; Data'!$C$62)</f>
        <v>16.9049390686247</v>
      </c>
      <c r="BU136" s="40" t="n">
        <f aca="false">SUMIFS('Financial Analysis'!$R$71:$R$790,'Financial Analysis'!$B$71:$B$790,$A136,'Financial Analysis'!$C$71:$C$790,"&gt;="&amp;'Assumptions &amp; Data'!$C$62)/SUMIFS('Financial Analysis'!$E$71:$E$790,'Financial Analysis'!$B$71:$B$790,$A136,'Financial Analysis'!$C$71:$C$790,"&gt;="&amp;'Assumptions &amp; Data'!$C$62)</f>
        <v>19.1679310604981</v>
      </c>
      <c r="BV136" s="40" t="n">
        <f aca="false">SUMIFS('Financial Analysis'!$S$71:$S$790,'Financial Analysis'!$B$71:$B$790,$A136,'Financial Analysis'!$C$71:$C$790,"&gt;="&amp;'Assumptions &amp; Data'!$C$62)/SUMIFS('Financial Analysis'!$E$71:$E$790,'Financial Analysis'!$B$71:$B$790,$A136,'Financial Analysis'!$C$71:$C$790,"&gt;="&amp;'Assumptions &amp; Data'!$C$62)</f>
        <v>15.3152322433001</v>
      </c>
      <c r="BW136" s="40" t="n">
        <f aca="false">(SUMIFS('Financial Analysis'!$T$71:$T$790,'Financial Analysis'!$B$71:$B$790,$A136,'Financial Analysis'!$C$71:$C$790,"&gt;="&amp;'Assumptions &amp; Data'!$C$62)+SUMIFS('Financial Analysis'!$U$71:$U$790,'Financial Analysis'!$B$71:$B$790,$A136,'Financial Analysis'!$C$71:$C$790,"&gt;="&amp;'Assumptions &amp; Data'!$C$62))/SUMIFS('Financial Analysis'!$E$71:$E$790,'Financial Analysis'!$B$71:$B$790,$A136,'Financial Analysis'!$C$71:$C$790,"&gt;="&amp;'Assumptions &amp; Data'!$C$62)</f>
        <v>8.121935067439</v>
      </c>
      <c r="BX136" s="40" t="n">
        <f aca="false">SUMIFS('Financial Analysis'!$V$71:$V$790,'Financial Analysis'!$B$71:$B$790,$A136,'Financial Analysis'!$C$71:$C$790,"&gt;="&amp;'Assumptions &amp; Data'!$C$62)/SUMIFS('Financial Analysis'!$E$71:$E$790,'Financial Analysis'!$B$71:$B$790,$A136,'Financial Analysis'!$C$71:$C$790,"&gt;="&amp;'Assumptions &amp; Data'!$C$62)</f>
        <v>25.5669692030206</v>
      </c>
      <c r="BY136" s="37" t="n">
        <f aca="false">'Assumptions &amp; Data'!J172</f>
        <v>18</v>
      </c>
      <c r="BZ136" s="39" t="str">
        <f aca="false">IF(BK136="Close",COUNTIF($BK$106:BK136,"Close"),"")</f>
        <v/>
      </c>
    </row>
    <row r="137" customFormat="false" ht="15" hidden="false" customHeight="false" outlineLevel="0" collapsed="false">
      <c r="A137" s="48" t="str">
        <f aca="false">'Assumptions &amp; Data'!A173</f>
        <v>DS032</v>
      </c>
      <c r="B137" s="48" t="str">
        <f aca="false">'Assumptions &amp; Data'!B173</f>
        <v>Bengaluru</v>
      </c>
      <c r="C137" s="48" t="str">
        <f aca="false">'Assumptions &amp; Data'!C173</f>
        <v>Dense residential</v>
      </c>
      <c r="D137" s="37" t="n">
        <f aca="false">'Assumptions &amp; Data'!D173</f>
        <v>31</v>
      </c>
      <c r="E137" s="39" t="n">
        <f aca="false">SUMIFS('Financial Analysis'!$E$71:$E$790,'Financial Analysis'!$B$71:$B$790,$A137,'Financial Analysis'!$C$71:$C$790,"&gt;="&amp;'Assumptions &amp; Data'!$C$62)/'Assumptions &amp; Data'!$C$63</f>
        <v>1422.0652173913</v>
      </c>
      <c r="F137" s="40" t="n">
        <f aca="false">SUMIFS('Financial Analysis'!$H$71:$H$790,'Financial Analysis'!$B$71:$B$790,$A137,'Financial Analysis'!$C$71:$C$790,"&gt;="&amp;'Assumptions &amp; Data'!$C$62)/'Assumptions &amp; Data'!$C$85/100000</f>
        <v>286.655182937367</v>
      </c>
      <c r="G137" s="40" t="n">
        <f aca="false">SUMIFS('Financial Analysis'!$F$71:$F$790,'Financial Analysis'!$B$71:$B$790,$A137,'Financial Analysis'!$C$71:$C$790,"&gt;="&amp;'Assumptions &amp; Data'!$C$62)/SUMIFS('Financial Analysis'!$E$71:$E$790,'Financial Analysis'!$B$71:$B$790,$A137,'Financial Analysis'!$C$71:$C$790,"&gt;="&amp;'Assumptions &amp; Data'!$C$62)</f>
        <v>704.822698157915</v>
      </c>
      <c r="H137" s="49" t="n">
        <f aca="false">SUMIFS('Financial Analysis'!$G$71:$G$790,'Financial Analysis'!$B$71:$B$790,$A137,'Financial Analysis'!$C$71:$C$790,"&gt;="&amp;'Assumptions &amp; Data'!$C$62)/SUMIFS('Financial Analysis'!$F$71:$F$790,'Financial Analysis'!$B$71:$B$790,$A137,'Financial Analysis'!$C$71:$C$790,"&gt;="&amp;'Assumptions &amp; Data'!$C$62)</f>
        <v>0.0674033948543305</v>
      </c>
      <c r="I137" s="49" t="n">
        <f aca="false">SUMIFS('Financial Analysis'!$L$71:$L$790,'Financial Analysis'!$B$71:$B$790,$A137,'Financial Analysis'!$C$71:$C$790,"&gt;="&amp;'Assumptions &amp; Data'!$C$62)/SUMIFS('Financial Analysis'!$H$71:$H$790,'Financial Analysis'!$B$71:$B$790,$A137,'Financial Analysis'!$C$71:$C$790,"&gt;="&amp;'Assumptions &amp; Data'!$C$62)</f>
        <v>0.0344122926002091</v>
      </c>
      <c r="J137" s="40" t="n">
        <f aca="false">SUMIFS('Financial Analysis'!$N$71:$N$790,'Financial Analysis'!$B$71:$B$790,$A137,'Financial Analysis'!$C$71:$C$790,"&gt;="&amp;'Assumptions &amp; Data'!$C$62)/SUMIFS('Financial Analysis'!$E$71:$E$790,'Financial Analysis'!$B$71:$B$790,$A137,'Financial Analysis'!$C$71:$C$790,"&gt;="&amp;'Assumptions &amp; Data'!$C$62)</f>
        <v>36.8006640678743</v>
      </c>
      <c r="K137" s="40" t="n">
        <f aca="false">SUMIFS('Financial Analysis'!$R$71:$R$790,'Financial Analysis'!$B$71:$B$790,$A137,'Financial Analysis'!$C$71:$C$790,"&gt;="&amp;'Assumptions &amp; Data'!$C$62)/AVERAGEIFS('Assumptions &amp; Data'!$M$205:$M$924,'Assumptions &amp; Data'!$B$205:$B$924,$A137,'Assumptions &amp; Data'!$C$205:$C$924,"&gt;="&amp;'Assumptions &amp; Data'!$C$62)/'Assumptions &amp; Data'!$C$85</f>
        <v>34.0006006006006</v>
      </c>
      <c r="L137" s="40" t="n">
        <f aca="false">E137/K137</f>
        <v>41.824708748415</v>
      </c>
      <c r="M137" s="40" t="n">
        <f aca="false">SUMIFS('Financial Analysis'!$Q$71:$Q$790,'Financial Analysis'!$B$71:$B$790,$A137,'Financial Analysis'!$C$71:$C$790,"&gt;="&amp;'Assumptions &amp; Data'!$C$62)/SUMIFS('Financial Analysis'!$E$71:$E$790,'Financial Analysis'!$B$71:$B$790,$A137,'Financial Analysis'!$C$71:$C$790,"&gt;="&amp;'Assumptions &amp; Data'!$C$62)</f>
        <v>66.0793406246502</v>
      </c>
      <c r="N137" s="40" t="n">
        <f aca="false">SUMIFS('Financial Analysis'!$Y$71:$Y$790,'Financial Analysis'!$B$71:$B$790,$A137,'Financial Analysis'!$C$71:$C$790,"&gt;="&amp;'Assumptions &amp; Data'!$C$62)/'Assumptions &amp; Data'!$C$85/100000</f>
        <v>20.3950733333333</v>
      </c>
      <c r="O137" s="40" t="n">
        <f aca="false">SUMIFS('Financial Analysis'!$V$71:$V$790,'Financial Analysis'!$B$71:$B$790,$A137,'Financial Analysis'!$C$71:$C$790,"&gt;="&amp;'Assumptions &amp; Data'!$C$62)/'Assumptions &amp; Data'!$C$85/100000</f>
        <v>8.42212711307663</v>
      </c>
      <c r="P137" s="49" t="n">
        <f aca="false">O137/F137</f>
        <v>0.0293806901615201</v>
      </c>
      <c r="Q137" s="39" t="n">
        <f aca="false">IF(M137&gt;0,N137*100000/(M137*'Assumptions &amp; Data'!$C$63/'Assumptions &amp; Data'!$C$85),9999)</f>
        <v>1006.45183932471</v>
      </c>
      <c r="R137" s="49" t="n">
        <f aca="false">E137/Q137-1</f>
        <v>0.412949096844465</v>
      </c>
      <c r="S137" s="50" t="n">
        <f aca="false">'Assumptions &amp; Data'!E173</f>
        <v>37.1</v>
      </c>
      <c r="T137" s="50" t="n">
        <f aca="false">'Assumptions &amp; Data'!G173</f>
        <v>1.5</v>
      </c>
      <c r="U137" s="49" t="n">
        <f aca="false">MAX(0,('Assumptions &amp; Data'!$C$72-T137)/'Assumptions &amp; Data'!$C$72)*'Assumptions &amp; Data'!$C$73</f>
        <v>0</v>
      </c>
      <c r="V137" s="39" t="n">
        <f aca="false">S137*$B$6*(1-U137)</f>
        <v>1321.55860403388</v>
      </c>
      <c r="W137" s="49" t="n">
        <f aca="false">V137/E137-1</f>
        <v>-0.0706765147816489</v>
      </c>
      <c r="X137" s="39" t="n">
        <f aca="false">IF(D137&gt;='Assumptions &amp; Data'!$C$64,1,0)</f>
        <v>1</v>
      </c>
      <c r="Y137" s="40" t="n">
        <f aca="false">IF(AND(X137=1,T137&gt;='Assumptions &amp; Data'!$C$72),E137/S137,"")</f>
        <v>38.3305988515176</v>
      </c>
      <c r="Z137" s="49" t="n">
        <f aca="false">IF(X137=1,H137,"")</f>
        <v>0.0674033948543305</v>
      </c>
      <c r="AA137" s="49" t="n">
        <f aca="false">IF(X137=1,I137,"")</f>
        <v>0.0344122926002091</v>
      </c>
      <c r="AB137" s="40" t="n">
        <f aca="false">IF(X137=1,J137,"")</f>
        <v>36.8006640678743</v>
      </c>
      <c r="AC137" s="40" t="n">
        <f aca="false">IF(X137=1,L137,"")</f>
        <v>41.824708748415</v>
      </c>
      <c r="AD137" s="40" t="n">
        <f aca="false">IF(X137=1,AP137/E137*100,"")</f>
        <v>351.601314683177</v>
      </c>
      <c r="AE137" s="40" t="n">
        <f aca="false">IF(X137=1,M137,"")</f>
        <v>66.0793406246502</v>
      </c>
      <c r="AF137" s="40" t="n">
        <f aca="false">E137*'Assumptions &amp; Data'!$C$63/'Assumptions &amp; Data'!$C$85*G137/100000</f>
        <v>307.373178666667</v>
      </c>
      <c r="AG137" s="49" t="n">
        <f aca="false">MAX(0,H137-$B$7)</f>
        <v>0.0125982948510737</v>
      </c>
      <c r="AH137" s="40" t="n">
        <f aca="false">AG137*AF137</f>
        <v>3.87237793415442</v>
      </c>
      <c r="AI137" s="40" t="n">
        <f aca="false">AG137*100*E137*'Assumptions &amp; Data'!$C$63/'Assumptions &amp; Data'!$C$85*M137/100000</f>
        <v>36.3047588006365</v>
      </c>
      <c r="AJ137" s="49" t="n">
        <f aca="false">MAX(0,I137-$B$8)</f>
        <v>0.013007698889922</v>
      </c>
      <c r="AK137" s="40" t="n">
        <f aca="false">AJ137*F137</f>
        <v>3.72872430488478</v>
      </c>
      <c r="AL137" s="40" t="n">
        <f aca="false">MAX(0,K137-E137/$B$10)</f>
        <v>0</v>
      </c>
      <c r="AM137" s="40" t="n">
        <f aca="false">AL137*BN137/K137</f>
        <v>0</v>
      </c>
      <c r="AN137" s="40" t="n">
        <f aca="false">MAX(0,J137-$B$9)</f>
        <v>0</v>
      </c>
      <c r="AO137" s="40" t="n">
        <f aca="false">AN137*E137*'Assumptions &amp; Data'!$C$63/'Assumptions &amp; Data'!$C$85/100000</f>
        <v>0</v>
      </c>
      <c r="AP137" s="37" t="n">
        <f aca="false">'Assumptions &amp; Data'!H173</f>
        <v>5000</v>
      </c>
      <c r="AQ137" s="39" t="n">
        <f aca="false">MIN(AP137,$B$11*E137/100)</f>
        <v>5000</v>
      </c>
      <c r="AR137" s="39" t="n">
        <f aca="false">IF(AP137-AQ137&gt;'Assumptions &amp; Data'!$C$78*AP137,AP137-AQ137,0)</f>
        <v>0</v>
      </c>
      <c r="AS137" s="50" t="n">
        <f aca="false">'Assumptions &amp; Data'!I173</f>
        <v>174</v>
      </c>
      <c r="AT137" s="40" t="n">
        <f aca="false">INDEX('Assumptions &amp; Data'!$B$89:$E$94,MATCH(B137,'Assumptions &amp; Data'!$A$89:$A$94,0),MATCH(C137,'Assumptions &amp; Data'!$B$88:$E$88,0))</f>
        <v>136</v>
      </c>
      <c r="AU137" s="39" t="n">
        <f aca="false">IF(BY137&lt;='Assumptions &amp; Data'!$C$79,1,0)</f>
        <v>1</v>
      </c>
      <c r="AV137" s="40" t="n">
        <f aca="false">AU137*(AR137*AS137+MAX(0,AS137-AT137)*(AP137-AR137))/100000</f>
        <v>1.9</v>
      </c>
      <c r="AW137" s="40" t="n">
        <f aca="false">'Assumptions &amp; Data'!$C$67*(AH137-'Assumptions &amp; Data'!$C$68*AI137+AK137+AM137+AO137+AV137)</f>
        <v>5.4828327906197</v>
      </c>
      <c r="AX137" s="40" t="n">
        <f aca="false">O137+AW137</f>
        <v>13.9049599036963</v>
      </c>
      <c r="AY137" s="49" t="n">
        <f aca="false">IF(D137&lt;'Assumptions &amp; Data'!$C$64,'Assumptions &amp; Data'!$C$70,'Assumptions &amp; Data'!$C$69)</f>
        <v>0.5</v>
      </c>
      <c r="AZ137" s="40" t="n">
        <f aca="false">AY137*MAX(0,V137-E137)*'Assumptions &amp; Data'!$C$63/'Assumptions &amp; Data'!$C$85*(M137-'Assumptions &amp; Data'!$C$71)/100000</f>
        <v>0</v>
      </c>
      <c r="BA137" s="40" t="n">
        <f aca="false">AX137+AZ137</f>
        <v>13.9049599036963</v>
      </c>
      <c r="BB137" s="40" t="n">
        <f aca="false">BA137+(1-'Assumptions &amp; Data'!$C$67)*AV137</f>
        <v>14.6649599036963</v>
      </c>
      <c r="BC137" s="48" t="str">
        <f aca="false">'Assumptions &amp; Data'!F173</f>
        <v>DS028</v>
      </c>
      <c r="BD137" s="39" t="n">
        <f aca="false">INDEX('Assumptions &amp; Data'!$K$142:$K$201,MATCH(BC137,'Assumptions &amp; Data'!$A$142:$A$201,0))*'Assumptions &amp; Data'!$C$77</f>
        <v>1134</v>
      </c>
      <c r="BE137" s="39" t="n">
        <f aca="false">MAX(0,BD137-INDEX($E$106:$E$165,MATCH(BC137,$A$106:$A$165,0)))</f>
        <v>72.5760869565218</v>
      </c>
      <c r="BF137" s="39" t="n">
        <f aca="false">IF(T137&lt;='Assumptions &amp; Data'!$C$74,MIN('Assumptions &amp; Data'!$C$76*E137,BE137),0)</f>
        <v>72.5760869565218</v>
      </c>
      <c r="BG137" s="40" t="n">
        <f aca="false">-O137+BF137*'Assumptions &amp; Data'!$C$63/'Assumptions &amp; Data'!$C$85*($B$12-'Assumptions &amp; Data'!$C$71)/100000</f>
        <v>-7.20386321286796</v>
      </c>
      <c r="BH137" s="40" t="n">
        <f aca="false">(AS137*AP137*BY137*'Assumptions &amp; Data'!$C$82+K137*(BN137*100000/K137)*'Assumptions &amp; Data'!$C$80*(1-'Assumptions &amp; Data'!$C$81)+AP137*'Assumptions &amp; Data'!$C$83)/100000</f>
        <v>51.94332</v>
      </c>
      <c r="BI137" s="40" t="n">
        <f aca="false">'Assumptions &amp; Data'!L173*MAX(0,1-D137/'Assumptions &amp; Data'!$C$84)</f>
        <v>107.261904761905</v>
      </c>
      <c r="BJ137" s="40" t="n">
        <f aca="false">IF(BG137&gt;0,BH137/BG137,99)</f>
        <v>99</v>
      </c>
      <c r="BK137" s="2" t="str">
        <f aca="false">IF(AND(P137&gt;='Assumptions &amp; Data'!$C$65,R137&gt;=0,W137&gt;='Assumptions &amp; Data'!$C$66),"Scale",IF(OR(O137&gt;=0,AX137&gt;=0),"Optimise",IF(BA137&gt;=0,"Turn around",IF(BB137&gt;=0,"Relocate or resize",IF(AND(BF137&gt;0,BJ137&lt;='Assumptions &amp; Data'!$C$75,D137&gt;='Assumptions &amp; Data'!$C$64),"Close","Relocate or resize")))))</f>
        <v>Optimise</v>
      </c>
      <c r="BL137" s="42" t="str">
        <f aca="false">INDEX($BK$106:$BK$165,MATCH(BC137,$A$106:$A$165,0))</f>
        <v>Optimise</v>
      </c>
      <c r="BM137" s="42" t="str">
        <f aca="false">IF(RANK(P137,$P$106:$P$165)&lt;=ROUND(COUNT($P$106:$P$165)/4,0),"Q1 top",IF(RANK(P137,$P$106:$P$165)&gt;COUNT($P$106:$P$165)-ROUND(COUNT($P$106:$P$165)/4,0),"Q4 bottom","Q2-Q3 middle"))</f>
        <v>Q2-Q3 middle</v>
      </c>
      <c r="BN137" s="40" t="n">
        <f aca="false">SUMIFS('Financial Analysis'!$R$71:$R$790,'Financial Analysis'!$B$71:$B$790,$A137,'Financial Analysis'!$C$71:$C$790,"&gt;="&amp;'Assumptions &amp; Data'!$C$62)/'Assumptions &amp; Data'!$C$85/100000</f>
        <v>7.54813333333333</v>
      </c>
      <c r="BO137" s="40" t="n">
        <f aca="false">SUMIFS('Financial Analysis'!$H$71:$H$790,'Financial Analysis'!$B$71:$B$790,$A137,'Financial Analysis'!$C$71:$C$790,"&gt;="&amp;'Assumptions &amp; Data'!$C$62)/SUMIFS('Financial Analysis'!$E$71:$E$790,'Financial Analysis'!$B$71:$B$790,$A137,'Financial Analysis'!$C$71:$C$790,"&gt;="&amp;'Assumptions &amp; Data'!$C$62)</f>
        <v>657.315255531682</v>
      </c>
      <c r="BP137" s="40" t="n">
        <f aca="false">(SUMIFS('Financial Analysis'!$I$71:$I$790,'Financial Analysis'!$B$71:$B$790,$A137,'Financial Analysis'!$C$71:$C$790,"&gt;="&amp;'Assumptions &amp; Data'!$C$62)+SUMIFS('Financial Analysis'!$J$71:$J$790,'Financial Analysis'!$B$71:$B$790,$A137,'Financial Analysis'!$C$71:$C$790,"&gt;="&amp;'Assumptions &amp; Data'!$C$62)+SUMIFS('Financial Analysis'!$K$71:$K$790,'Financial Analysis'!$B$71:$B$790,$A137,'Financial Analysis'!$C$71:$C$790,"&gt;="&amp;'Assumptions &amp; Data'!$C$62))/SUMIFS('Financial Analysis'!$E$71:$E$790,'Financial Analysis'!$B$71:$B$790,$A137,'Financial Analysis'!$C$71:$C$790,"&gt;="&amp;'Assumptions &amp; Data'!$C$62)</f>
        <v>142.705949528666</v>
      </c>
      <c r="BQ137" s="40" t="n">
        <f aca="false">SUMIFS('Financial Analysis'!$L$71:$L$790,'Financial Analysis'!$B$71:$B$790,$A137,'Financial Analysis'!$C$71:$C$790,"&gt;="&amp;'Assumptions &amp; Data'!$C$62)/SUMIFS('Financial Analysis'!$E$71:$E$790,'Financial Analysis'!$B$71:$B$790,$A137,'Financial Analysis'!$C$71:$C$790,"&gt;="&amp;'Assumptions &amp; Data'!$C$62)</f>
        <v>22.6197249039375</v>
      </c>
      <c r="BR137" s="40" t="n">
        <f aca="false">SUMIFS('Financial Analysis'!$L$71:$L$790,'Financial Analysis'!$B$71:$B$790,$A137,'Financial Analysis'!$C$71:$C$790,"&gt;="&amp;'Assumptions &amp; Data'!$C$62)/SUMIFS('Financial Analysis'!$E$71:$E$790,'Financial Analysis'!$B$71:$B$790,$A137,'Financial Analysis'!$C$71:$C$790,"&gt;="&amp;'Assumptions &amp; Data'!$C$62)</f>
        <v>22.6197249039375</v>
      </c>
      <c r="BS137" s="40" t="n">
        <f aca="false">SUMIFS('Financial Analysis'!$N$71:$N$790,'Financial Analysis'!$B$71:$B$790,$A137,'Financial Analysis'!$C$71:$C$790,"&gt;="&amp;'Assumptions &amp; Data'!$C$62)/SUMIFS('Financial Analysis'!$E$71:$E$790,'Financial Analysis'!$B$71:$B$790,$A137,'Financial Analysis'!$C$71:$C$790,"&gt;="&amp;'Assumptions &amp; Data'!$C$62)</f>
        <v>36.8006640678743</v>
      </c>
      <c r="BT137" s="40" t="n">
        <f aca="false">(SUMIFS('Financial Analysis'!$O$71:$O$790,'Financial Analysis'!$B$71:$B$790,$A137,'Financial Analysis'!$C$71:$C$790,"&gt;="&amp;'Assumptions &amp; Data'!$C$62)+SUMIFS('Financial Analysis'!$P$71:$P$790,'Financial Analysis'!$B$71:$B$790,$A137,'Financial Analysis'!$C$71:$C$790,"&gt;="&amp;'Assumptions &amp; Data'!$C$62))/SUMIFS('Financial Analysis'!$E$71:$E$790,'Financial Analysis'!$B$71:$B$790,$A137,'Financial Analysis'!$C$71:$C$790,"&gt;="&amp;'Assumptions &amp; Data'!$C$62)</f>
        <v>17.206219932204</v>
      </c>
      <c r="BU137" s="40" t="n">
        <f aca="false">SUMIFS('Financial Analysis'!$R$71:$R$790,'Financial Analysis'!$B$71:$B$790,$A137,'Financial Analysis'!$C$71:$C$790,"&gt;="&amp;'Assumptions &amp; Data'!$C$62)/SUMIFS('Financial Analysis'!$E$71:$E$790,'Financial Analysis'!$B$71:$B$790,$A137,'Financial Analysis'!$C$71:$C$790,"&gt;="&amp;'Assumptions &amp; Data'!$C$62)</f>
        <v>17.3082626308951</v>
      </c>
      <c r="BV137" s="40" t="n">
        <f aca="false">SUMIFS('Financial Analysis'!$S$71:$S$790,'Financial Analysis'!$B$71:$B$790,$A137,'Financial Analysis'!$C$71:$C$790,"&gt;="&amp;'Assumptions &amp; Data'!$C$62)/SUMIFS('Financial Analysis'!$E$71:$E$790,'Financial Analysis'!$B$71:$B$790,$A137,'Financial Analysis'!$C$71:$C$790,"&gt;="&amp;'Assumptions &amp; Data'!$C$62)</f>
        <v>19.9495528548498</v>
      </c>
      <c r="BW137" s="40" t="n">
        <f aca="false">(SUMIFS('Financial Analysis'!$T$71:$T$790,'Financial Analysis'!$B$71:$B$790,$A137,'Financial Analysis'!$C$71:$C$790,"&gt;="&amp;'Assumptions &amp; Data'!$C$62)+SUMIFS('Financial Analysis'!$U$71:$U$790,'Financial Analysis'!$B$71:$B$790,$A137,'Financial Analysis'!$C$71:$C$790,"&gt;="&amp;'Assumptions &amp; Data'!$C$62))/SUMIFS('Financial Analysis'!$E$71:$E$790,'Financial Analysis'!$B$71:$B$790,$A137,'Financial Analysis'!$C$71:$C$790,"&gt;="&amp;'Assumptions &amp; Data'!$C$62)</f>
        <v>9.5091492776886</v>
      </c>
      <c r="BX137" s="40" t="n">
        <f aca="false">SUMIFS('Financial Analysis'!$V$71:$V$790,'Financial Analysis'!$B$71:$B$790,$A137,'Financial Analysis'!$C$71:$C$790,"&gt;="&amp;'Assumptions &amp; Data'!$C$62)/SUMIFS('Financial Analysis'!$E$71:$E$790,'Financial Analysis'!$B$71:$B$790,$A137,'Financial Analysis'!$C$71:$C$790,"&gt;="&amp;'Assumptions &amp; Data'!$C$62)</f>
        <v>19.3123758612168</v>
      </c>
      <c r="BY137" s="37" t="n">
        <f aca="false">'Assumptions &amp; Data'!J173</f>
        <v>9</v>
      </c>
      <c r="BZ137" s="39" t="str">
        <f aca="false">IF(BK137="Close",COUNTIF($BK$106:BK137,"Close"),"")</f>
        <v/>
      </c>
    </row>
    <row r="138" customFormat="false" ht="15" hidden="false" customHeight="false" outlineLevel="0" collapsed="false">
      <c r="A138" s="48" t="str">
        <f aca="false">'Assumptions &amp; Data'!A174</f>
        <v>DS033</v>
      </c>
      <c r="B138" s="48" t="str">
        <f aca="false">'Assumptions &amp; Data'!B174</f>
        <v>Bengaluru</v>
      </c>
      <c r="C138" s="48" t="str">
        <f aca="false">'Assumptions &amp; Data'!C174</f>
        <v>Dense residential</v>
      </c>
      <c r="D138" s="37" t="n">
        <f aca="false">'Assumptions &amp; Data'!D174</f>
        <v>40</v>
      </c>
      <c r="E138" s="39" t="n">
        <f aca="false">SUMIFS('Financial Analysis'!$E$71:$E$790,'Financial Analysis'!$B$71:$B$790,$A138,'Financial Analysis'!$C$71:$C$790,"&gt;="&amp;'Assumptions &amp; Data'!$C$62)/'Assumptions &amp; Data'!$C$63</f>
        <v>923.184782608696</v>
      </c>
      <c r="F138" s="40" t="n">
        <f aca="false">SUMIFS('Financial Analysis'!$H$71:$H$790,'Financial Analysis'!$B$71:$B$790,$A138,'Financial Analysis'!$C$71:$C$790,"&gt;="&amp;'Assumptions &amp; Data'!$C$62)/'Assumptions &amp; Data'!$C$85/100000</f>
        <v>197.710853953467</v>
      </c>
      <c r="G138" s="40" t="n">
        <f aca="false">SUMIFS('Financial Analysis'!$F$71:$F$790,'Financial Analysis'!$B$71:$B$790,$A138,'Financial Analysis'!$C$71:$C$790,"&gt;="&amp;'Assumptions &amp; Data'!$C$62)/SUMIFS('Financial Analysis'!$E$71:$E$790,'Financial Analysis'!$B$71:$B$790,$A138,'Financial Analysis'!$C$71:$C$790,"&gt;="&amp;'Assumptions &amp; Data'!$C$62)</f>
        <v>737.42198791989</v>
      </c>
      <c r="H138" s="49" t="n">
        <f aca="false">SUMIFS('Financial Analysis'!$G$71:$G$790,'Financial Analysis'!$B$71:$B$790,$A138,'Financial Analysis'!$C$71:$C$790,"&gt;="&amp;'Assumptions &amp; Data'!$C$62)/SUMIFS('Financial Analysis'!$F$71:$F$790,'Financial Analysis'!$B$71:$B$790,$A138,'Financial Analysis'!$C$71:$C$790,"&gt;="&amp;'Assumptions &amp; Data'!$C$62)</f>
        <v>0.0529798510827347</v>
      </c>
      <c r="I138" s="49" t="n">
        <f aca="false">SUMIFS('Financial Analysis'!$L$71:$L$790,'Financial Analysis'!$B$71:$B$790,$A138,'Financial Analysis'!$C$71:$C$790,"&gt;="&amp;'Assumptions &amp; Data'!$C$62)/SUMIFS('Financial Analysis'!$H$71:$H$790,'Financial Analysis'!$B$71:$B$790,$A138,'Financial Analysis'!$C$71:$C$790,"&gt;="&amp;'Assumptions &amp; Data'!$C$62)</f>
        <v>0.0238447969363584</v>
      </c>
      <c r="J138" s="40" t="n">
        <f aca="false">SUMIFS('Financial Analysis'!$N$71:$N$790,'Financial Analysis'!$B$71:$B$790,$A138,'Financial Analysis'!$C$71:$C$790,"&gt;="&amp;'Assumptions &amp; Data'!$C$62)/SUMIFS('Financial Analysis'!$E$71:$E$790,'Financial Analysis'!$B$71:$B$790,$A138,'Financial Analysis'!$C$71:$C$790,"&gt;="&amp;'Assumptions &amp; Data'!$C$62)</f>
        <v>44.5814431375319</v>
      </c>
      <c r="K138" s="40" t="n">
        <f aca="false">SUMIFS('Financial Analysis'!$R$71:$R$790,'Financial Analysis'!$B$71:$B$790,$A138,'Financial Analysis'!$C$71:$C$790,"&gt;="&amp;'Assumptions &amp; Data'!$C$62)/AVERAGEIFS('Assumptions &amp; Data'!$M$205:$M$924,'Assumptions &amp; Data'!$B$205:$B$924,$A138,'Assumptions &amp; Data'!$C$205:$C$924,"&gt;="&amp;'Assumptions &amp; Data'!$C$62)/'Assumptions &amp; Data'!$C$85</f>
        <v>18.6675675675676</v>
      </c>
      <c r="L138" s="40" t="n">
        <f aca="false">E138/K138</f>
        <v>49.4539408665437</v>
      </c>
      <c r="M138" s="40" t="n">
        <f aca="false">SUMIFS('Financial Analysis'!$Q$71:$Q$790,'Financial Analysis'!$B$71:$B$790,$A138,'Financial Analysis'!$C$71:$C$790,"&gt;="&amp;'Assumptions &amp; Data'!$C$62)/SUMIFS('Financial Analysis'!$E$71:$E$790,'Financial Analysis'!$B$71:$B$790,$A138,'Financial Analysis'!$C$71:$C$790,"&gt;="&amp;'Assumptions &amp; Data'!$C$62)</f>
        <v>68.9102277572305</v>
      </c>
      <c r="N138" s="40" t="n">
        <f aca="false">SUMIFS('Financial Analysis'!$Y$71:$Y$790,'Financial Analysis'!$B$71:$B$790,$A138,'Financial Analysis'!$C$71:$C$790,"&gt;="&amp;'Assumptions &amp; Data'!$C$62)/'Assumptions &amp; Data'!$C$85/100000</f>
        <v>11.9680266666667</v>
      </c>
      <c r="O138" s="40" t="n">
        <f aca="false">SUMIFS('Financial Analysis'!$V$71:$V$790,'Financial Analysis'!$B$71:$B$790,$A138,'Financial Analysis'!$C$71:$C$790,"&gt;="&amp;'Assumptions &amp; Data'!$C$62)/'Assumptions &amp; Data'!$C$85/100000</f>
        <v>7.54114791368287</v>
      </c>
      <c r="P138" s="49" t="n">
        <f aca="false">O138/F138</f>
        <v>0.0381423061146544</v>
      </c>
      <c r="Q138" s="39" t="n">
        <f aca="false">IF(M138&gt;0,N138*100000/(M138*'Assumptions &amp; Data'!$C$63/'Assumptions &amp; Data'!$C$85),9999)</f>
        <v>566.333549941701</v>
      </c>
      <c r="R138" s="49" t="n">
        <f aca="false">E138/Q138-1</f>
        <v>0.630107880247832</v>
      </c>
      <c r="S138" s="50" t="n">
        <f aca="false">'Assumptions &amp; Data'!E174</f>
        <v>24</v>
      </c>
      <c r="T138" s="50" t="n">
        <f aca="false">'Assumptions &amp; Data'!G174</f>
        <v>2.9</v>
      </c>
      <c r="U138" s="49" t="n">
        <f aca="false">MAX(0,('Assumptions &amp; Data'!$C$72-T138)/'Assumptions &amp; Data'!$C$72)*'Assumptions &amp; Data'!$C$73</f>
        <v>0</v>
      </c>
      <c r="V138" s="39" t="n">
        <f aca="false">S138*$B$6*(1-U138)</f>
        <v>854.916617164774</v>
      </c>
      <c r="W138" s="49" t="n">
        <f aca="false">V138/E138-1</f>
        <v>-0.0739485385049491</v>
      </c>
      <c r="X138" s="39" t="n">
        <f aca="false">IF(D138&gt;='Assumptions &amp; Data'!$C$64,1,0)</f>
        <v>1</v>
      </c>
      <c r="Y138" s="40" t="n">
        <f aca="false">IF(AND(X138=1,T138&gt;='Assumptions &amp; Data'!$C$72),E138/S138,"")</f>
        <v>38.4660326086957</v>
      </c>
      <c r="Z138" s="49" t="n">
        <f aca="false">IF(X138=1,H138,"")</f>
        <v>0.0529798510827347</v>
      </c>
      <c r="AA138" s="49" t="n">
        <f aca="false">IF(X138=1,I138,"")</f>
        <v>0.0238447969363584</v>
      </c>
      <c r="AB138" s="40" t="n">
        <f aca="false">IF(X138=1,J138,"")</f>
        <v>44.5814431375319</v>
      </c>
      <c r="AC138" s="40" t="n">
        <f aca="false">IF(X138=1,L138,"")</f>
        <v>49.4539408665437</v>
      </c>
      <c r="AD138" s="40" t="n">
        <f aca="false">IF(X138=1,AP138/E138*100,"")</f>
        <v>487.443043340045</v>
      </c>
      <c r="AE138" s="40" t="n">
        <f aca="false">IF(X138=1,M138,"")</f>
        <v>68.9102277572305</v>
      </c>
      <c r="AF138" s="40" t="n">
        <f aca="false">E138*'Assumptions &amp; Data'!$C$63/'Assumptions &amp; Data'!$C$85*G138/100000</f>
        <v>208.771539</v>
      </c>
      <c r="AG138" s="49" t="n">
        <f aca="false">MAX(0,H138-$B$7)</f>
        <v>0</v>
      </c>
      <c r="AH138" s="40" t="n">
        <f aca="false">AG138*AF138</f>
        <v>0</v>
      </c>
      <c r="AI138" s="40" t="n">
        <f aca="false">AG138*100*E138*'Assumptions &amp; Data'!$C$63/'Assumptions &amp; Data'!$C$85*M138/100000</f>
        <v>0</v>
      </c>
      <c r="AJ138" s="49" t="n">
        <f aca="false">MAX(0,I138-$B$8)</f>
        <v>0.00244020322607131</v>
      </c>
      <c r="AK138" s="40" t="n">
        <f aca="false">AJ138*F138</f>
        <v>0.482454663646563</v>
      </c>
      <c r="AL138" s="40" t="n">
        <f aca="false">MAX(0,K138-E138/$B$10)</f>
        <v>0</v>
      </c>
      <c r="AM138" s="40" t="n">
        <f aca="false">AL138*BN138/K138</f>
        <v>0</v>
      </c>
      <c r="AN138" s="40" t="n">
        <f aca="false">MAX(0,J138-$B$9)</f>
        <v>6.37528654107118</v>
      </c>
      <c r="AO138" s="40" t="n">
        <f aca="false">AN138*E138*'Assumptions &amp; Data'!$C$63/'Assumptions &amp; Data'!$C$85/100000</f>
        <v>1.80490737264266</v>
      </c>
      <c r="AP138" s="37" t="n">
        <f aca="false">'Assumptions &amp; Data'!H174</f>
        <v>4500</v>
      </c>
      <c r="AQ138" s="39" t="n">
        <f aca="false">MIN(AP138,$B$11*E138/100)</f>
        <v>3547.21607428458</v>
      </c>
      <c r="AR138" s="39" t="n">
        <f aca="false">IF(AP138-AQ138&gt;'Assumptions &amp; Data'!$C$78*AP138,AP138-AQ138,0)</f>
        <v>952.783925715422</v>
      </c>
      <c r="AS138" s="50" t="n">
        <f aca="false">'Assumptions &amp; Data'!I174</f>
        <v>102</v>
      </c>
      <c r="AT138" s="40" t="n">
        <f aca="false">INDEX('Assumptions &amp; Data'!$B$89:$E$94,MATCH(B138,'Assumptions &amp; Data'!$A$89:$A$94,0),MATCH(C138,'Assumptions &amp; Data'!$B$88:$E$88,0))</f>
        <v>136</v>
      </c>
      <c r="AU138" s="39" t="n">
        <f aca="false">IF(BY138&lt;='Assumptions &amp; Data'!$C$79,1,0)</f>
        <v>1</v>
      </c>
      <c r="AV138" s="40" t="n">
        <f aca="false">AU138*(AR138*AS138+MAX(0,AS138-AT138)*(AP138-AR138))/100000</f>
        <v>0.97183960422973</v>
      </c>
      <c r="AW138" s="40" t="n">
        <f aca="false">'Assumptions &amp; Data'!$C$67*(AH138-'Assumptions &amp; Data'!$C$68*AI138+AK138+AM138+AO138+AV138)</f>
        <v>1.95552098431137</v>
      </c>
      <c r="AX138" s="40" t="n">
        <f aca="false">O138+AW138</f>
        <v>9.49666889799424</v>
      </c>
      <c r="AY138" s="49" t="n">
        <f aca="false">IF(D138&lt;'Assumptions &amp; Data'!$C$64,'Assumptions &amp; Data'!$C$70,'Assumptions &amp; Data'!$C$69)</f>
        <v>0.5</v>
      </c>
      <c r="AZ138" s="40" t="n">
        <f aca="false">AY138*MAX(0,V138-E138)*'Assumptions &amp; Data'!$C$63/'Assumptions &amp; Data'!$C$85*(M138-'Assumptions &amp; Data'!$C$71)/100000</f>
        <v>0</v>
      </c>
      <c r="BA138" s="40" t="n">
        <f aca="false">AX138+AZ138</f>
        <v>9.49666889799424</v>
      </c>
      <c r="BB138" s="40" t="n">
        <f aca="false">BA138+(1-'Assumptions &amp; Data'!$C$67)*AV138</f>
        <v>9.88540473968613</v>
      </c>
      <c r="BC138" s="48" t="str">
        <f aca="false">'Assumptions &amp; Data'!F174</f>
        <v>DS038</v>
      </c>
      <c r="BD138" s="39" t="n">
        <f aca="false">INDEX('Assumptions &amp; Data'!$K$142:$K$201,MATCH(BC138,'Assumptions &amp; Data'!$A$142:$A$201,0))*'Assumptions &amp; Data'!$C$77</f>
        <v>1620</v>
      </c>
      <c r="BE138" s="39" t="n">
        <f aca="false">MAX(0,BD138-INDEX($E$106:$E$165,MATCH(BC138,$A$106:$A$165,0)))</f>
        <v>1257.94565217391</v>
      </c>
      <c r="BF138" s="39" t="n">
        <f aca="false">IF(T138&lt;='Assumptions &amp; Data'!$C$74,MIN('Assumptions &amp; Data'!$C$76*E138,BE138),0)</f>
        <v>0</v>
      </c>
      <c r="BG138" s="40" t="n">
        <f aca="false">-O138+BF138*'Assumptions &amp; Data'!$C$63/'Assumptions &amp; Data'!$C$85*($B$12-'Assumptions &amp; Data'!$C$71)/100000</f>
        <v>-7.54114791368287</v>
      </c>
      <c r="BH138" s="40" t="n">
        <f aca="false">(AS138*AP138*BY138*'Assumptions &amp; Data'!$C$82+K138*(BN138*100000/K138)*'Assumptions &amp; Data'!$C$80*(1-'Assumptions &amp; Data'!$C$81)+AP138*'Assumptions &amp; Data'!$C$83)/100000</f>
        <v>36.66978</v>
      </c>
      <c r="BI138" s="40" t="n">
        <f aca="false">'Assumptions &amp; Data'!L174*MAX(0,1-D138/'Assumptions &amp; Data'!$C$84)</f>
        <v>80.1428571428572</v>
      </c>
      <c r="BJ138" s="40" t="n">
        <f aca="false">IF(BG138&gt;0,BH138/BG138,99)</f>
        <v>99</v>
      </c>
      <c r="BK138" s="2" t="str">
        <f aca="false">IF(AND(P138&gt;='Assumptions &amp; Data'!$C$65,R138&gt;=0,W138&gt;='Assumptions &amp; Data'!$C$66),"Scale",IF(OR(O138&gt;=0,AX138&gt;=0),"Optimise",IF(BA138&gt;=0,"Turn around",IF(BB138&gt;=0,"Relocate or resize",IF(AND(BF138&gt;0,BJ138&lt;='Assumptions &amp; Data'!$C$75,D138&gt;='Assumptions &amp; Data'!$C$64),"Close","Relocate or resize")))))</f>
        <v>Optimise</v>
      </c>
      <c r="BL138" s="42" t="str">
        <f aca="false">INDEX($BK$106:$BK$165,MATCH(BC138,$A$106:$A$165,0))</f>
        <v>Relocate or resize</v>
      </c>
      <c r="BM138" s="42" t="str">
        <f aca="false">IF(RANK(P138,$P$106:$P$165)&lt;=ROUND(COUNT($P$106:$P$165)/4,0),"Q1 top",IF(RANK(P138,$P$106:$P$165)&gt;COUNT($P$106:$P$165)-ROUND(COUNT($P$106:$P$165)/4,0),"Q4 bottom","Q2-Q3 middle"))</f>
        <v>Q2-Q3 middle</v>
      </c>
      <c r="BN138" s="40" t="n">
        <f aca="false">SUMIFS('Financial Analysis'!$R$71:$R$790,'Financial Analysis'!$B$71:$B$790,$A138,'Financial Analysis'!$C$71:$C$790,"&gt;="&amp;'Assumptions &amp; Data'!$C$62)/'Assumptions &amp; Data'!$C$85/100000</f>
        <v>4.1442</v>
      </c>
      <c r="BO138" s="40" t="n">
        <f aca="false">SUMIFS('Financial Analysis'!$H$71:$H$790,'Financial Analysis'!$B$71:$B$790,$A138,'Financial Analysis'!$C$71:$C$790,"&gt;="&amp;'Assumptions &amp; Data'!$C$62)/SUMIFS('Financial Analysis'!$E$71:$E$790,'Financial Analysis'!$B$71:$B$790,$A138,'Financial Analysis'!$C$71:$C$790,"&gt;="&amp;'Assumptions &amp; Data'!$C$62)</f>
        <v>698.35348081476</v>
      </c>
      <c r="BP138" s="40" t="n">
        <f aca="false">(SUMIFS('Financial Analysis'!$I$71:$I$790,'Financial Analysis'!$B$71:$B$790,$A138,'Financial Analysis'!$C$71:$C$790,"&gt;="&amp;'Assumptions &amp; Data'!$C$62)+SUMIFS('Financial Analysis'!$J$71:$J$790,'Financial Analysis'!$B$71:$B$790,$A138,'Financial Analysis'!$C$71:$C$790,"&gt;="&amp;'Assumptions &amp; Data'!$C$62)+SUMIFS('Financial Analysis'!$K$71:$K$790,'Financial Analysis'!$B$71:$B$790,$A138,'Financial Analysis'!$C$71:$C$790,"&gt;="&amp;'Assumptions &amp; Data'!$C$62))/SUMIFS('Financial Analysis'!$E$71:$E$790,'Financial Analysis'!$B$71:$B$790,$A138,'Financial Analysis'!$C$71:$C$790,"&gt;="&amp;'Assumptions &amp; Data'!$C$62)</f>
        <v>147.832765348121</v>
      </c>
      <c r="BQ138" s="40" t="n">
        <f aca="false">SUMIFS('Financial Analysis'!$L$71:$L$790,'Financial Analysis'!$B$71:$B$790,$A138,'Financial Analysis'!$C$71:$C$790,"&gt;="&amp;'Assumptions &amp; Data'!$C$62)/SUMIFS('Financial Analysis'!$E$71:$E$790,'Financial Analysis'!$B$71:$B$790,$A138,'Financial Analysis'!$C$71:$C$790,"&gt;="&amp;'Assumptions &amp; Data'!$C$62)</f>
        <v>16.652096939827</v>
      </c>
      <c r="BR138" s="40" t="n">
        <f aca="false">SUMIFS('Financial Analysis'!$L$71:$L$790,'Financial Analysis'!$B$71:$B$790,$A138,'Financial Analysis'!$C$71:$C$790,"&gt;="&amp;'Assumptions &amp; Data'!$C$62)/SUMIFS('Financial Analysis'!$E$71:$E$790,'Financial Analysis'!$B$71:$B$790,$A138,'Financial Analysis'!$C$71:$C$790,"&gt;="&amp;'Assumptions &amp; Data'!$C$62)</f>
        <v>16.652096939827</v>
      </c>
      <c r="BS138" s="40" t="n">
        <f aca="false">SUMIFS('Financial Analysis'!$N$71:$N$790,'Financial Analysis'!$B$71:$B$790,$A138,'Financial Analysis'!$C$71:$C$790,"&gt;="&amp;'Assumptions &amp; Data'!$C$62)/SUMIFS('Financial Analysis'!$E$71:$E$790,'Financial Analysis'!$B$71:$B$790,$A138,'Financial Analysis'!$C$71:$C$790,"&gt;="&amp;'Assumptions &amp; Data'!$C$62)</f>
        <v>44.5814431375319</v>
      </c>
      <c r="BT138" s="40" t="n">
        <f aca="false">(SUMIFS('Financial Analysis'!$O$71:$O$790,'Financial Analysis'!$B$71:$B$790,$A138,'Financial Analysis'!$C$71:$C$790,"&gt;="&amp;'Assumptions &amp; Data'!$C$62)+SUMIFS('Financial Analysis'!$P$71:$P$790,'Financial Analysis'!$B$71:$B$790,$A138,'Financial Analysis'!$C$71:$C$790,"&gt;="&amp;'Assumptions &amp; Data'!$C$62))/SUMIFS('Financial Analysis'!$E$71:$E$790,'Financial Analysis'!$B$71:$B$790,$A138,'Financial Analysis'!$C$71:$C$790,"&gt;="&amp;'Assumptions &amp; Data'!$C$62)</f>
        <v>17.6889975135318</v>
      </c>
      <c r="BU138" s="40" t="n">
        <f aca="false">SUMIFS('Financial Analysis'!$R$71:$R$790,'Financial Analysis'!$B$71:$B$790,$A138,'Financial Analysis'!$C$71:$C$790,"&gt;="&amp;'Assumptions &amp; Data'!$C$62)/SUMIFS('Financial Analysis'!$E$71:$E$790,'Financial Analysis'!$B$71:$B$790,$A138,'Financial Analysis'!$C$71:$C$790,"&gt;="&amp;'Assumptions &amp; Data'!$C$62)</f>
        <v>14.6381265232595</v>
      </c>
      <c r="BV138" s="40" t="n">
        <f aca="false">SUMIFS('Financial Analysis'!$S$71:$S$790,'Financial Analysis'!$B$71:$B$790,$A138,'Financial Analysis'!$C$71:$C$790,"&gt;="&amp;'Assumptions &amp; Data'!$C$62)/SUMIFS('Financial Analysis'!$E$71:$E$790,'Financial Analysis'!$B$71:$B$790,$A138,'Financial Analysis'!$C$71:$C$790,"&gt;="&amp;'Assumptions &amp; Data'!$C$62)</f>
        <v>16.2127794850058</v>
      </c>
      <c r="BW138" s="40" t="n">
        <f aca="false">(SUMIFS('Financial Analysis'!$T$71:$T$790,'Financial Analysis'!$B$71:$B$790,$A138,'Financial Analysis'!$C$71:$C$790,"&gt;="&amp;'Assumptions &amp; Data'!$C$62)+SUMIFS('Financial Analysis'!$U$71:$U$790,'Financial Analysis'!$B$71:$B$790,$A138,'Financial Analysis'!$C$71:$C$790,"&gt;="&amp;'Assumptions &amp; Data'!$C$62))/SUMIFS('Financial Analysis'!$E$71:$E$790,'Financial Analysis'!$B$71:$B$790,$A138,'Financial Analysis'!$C$71:$C$790,"&gt;="&amp;'Assumptions &amp; Data'!$C$62)</f>
        <v>11.4225095074941</v>
      </c>
      <c r="BX138" s="40" t="n">
        <f aca="false">SUMIFS('Financial Analysis'!$V$71:$V$790,'Financial Analysis'!$B$71:$B$790,$A138,'Financial Analysis'!$C$71:$C$790,"&gt;="&amp;'Assumptions &amp; Data'!$C$62)/SUMIFS('Financial Analysis'!$E$71:$E$790,'Financial Analysis'!$B$71:$B$790,$A138,'Financial Analysis'!$C$71:$C$790,"&gt;="&amp;'Assumptions &amp; Data'!$C$62)</f>
        <v>26.636812241471</v>
      </c>
      <c r="BY138" s="37" t="n">
        <f aca="false">'Assumptions &amp; Data'!J174</f>
        <v>12</v>
      </c>
      <c r="BZ138" s="39" t="str">
        <f aca="false">IF(BK138="Close",COUNTIF($BK$106:BK138,"Close"),"")</f>
        <v/>
      </c>
    </row>
    <row r="139" customFormat="false" ht="15" hidden="false" customHeight="false" outlineLevel="0" collapsed="false">
      <c r="A139" s="48" t="str">
        <f aca="false">'Assumptions &amp; Data'!A175</f>
        <v>DS034</v>
      </c>
      <c r="B139" s="48" t="str">
        <f aca="false">'Assumptions &amp; Data'!B175</f>
        <v>Bengaluru</v>
      </c>
      <c r="C139" s="48" t="str">
        <f aca="false">'Assumptions &amp; Data'!C175</f>
        <v>Peripheral / emerging</v>
      </c>
      <c r="D139" s="37" t="n">
        <f aca="false">'Assumptions &amp; Data'!D175</f>
        <v>48</v>
      </c>
      <c r="E139" s="39" t="n">
        <f aca="false">SUMIFS('Financial Analysis'!$E$71:$E$790,'Financial Analysis'!$B$71:$B$790,$A139,'Financial Analysis'!$C$71:$C$790,"&gt;="&amp;'Assumptions &amp; Data'!$C$62)/'Assumptions &amp; Data'!$C$63</f>
        <v>1180.35869565217</v>
      </c>
      <c r="F139" s="40" t="n">
        <f aca="false">SUMIFS('Financial Analysis'!$H$71:$H$790,'Financial Analysis'!$B$71:$B$790,$A139,'Financial Analysis'!$C$71:$C$790,"&gt;="&amp;'Assumptions &amp; Data'!$C$62)/'Assumptions &amp; Data'!$C$85/100000</f>
        <v>221.602926280667</v>
      </c>
      <c r="G139" s="40" t="n">
        <f aca="false">SUMIFS('Financial Analysis'!$F$71:$F$790,'Financial Analysis'!$B$71:$B$790,$A139,'Financial Analysis'!$C$71:$C$790,"&gt;="&amp;'Assumptions &amp; Data'!$C$62)/SUMIFS('Financial Analysis'!$E$71:$E$790,'Financial Analysis'!$B$71:$B$790,$A139,'Financial Analysis'!$C$71:$C$790,"&gt;="&amp;'Assumptions &amp; Data'!$C$62)</f>
        <v>645.694588969823</v>
      </c>
      <c r="H139" s="49" t="n">
        <f aca="false">SUMIFS('Financial Analysis'!$G$71:$G$790,'Financial Analysis'!$B$71:$B$790,$A139,'Financial Analysis'!$C$71:$C$790,"&gt;="&amp;'Assumptions &amp; Data'!$C$62)/SUMIFS('Financial Analysis'!$F$71:$F$790,'Financial Analysis'!$B$71:$B$790,$A139,'Financial Analysis'!$C$71:$C$790,"&gt;="&amp;'Assumptions &amp; Data'!$C$62)</f>
        <v>0.0518702637617742</v>
      </c>
      <c r="I139" s="49" t="n">
        <f aca="false">SUMIFS('Financial Analysis'!$L$71:$L$790,'Financial Analysis'!$B$71:$B$790,$A139,'Financial Analysis'!$C$71:$C$790,"&gt;="&amp;'Assumptions &amp; Data'!$C$62)/SUMIFS('Financial Analysis'!$H$71:$H$790,'Financial Analysis'!$B$71:$B$790,$A139,'Financial Analysis'!$C$71:$C$790,"&gt;="&amp;'Assumptions &amp; Data'!$C$62)</f>
        <v>0.0169924025497563</v>
      </c>
      <c r="J139" s="40" t="n">
        <f aca="false">SUMIFS('Financial Analysis'!$N$71:$N$790,'Financial Analysis'!$B$71:$B$790,$A139,'Financial Analysis'!$C$71:$C$790,"&gt;="&amp;'Assumptions &amp; Data'!$C$62)/SUMIFS('Financial Analysis'!$E$71:$E$790,'Financial Analysis'!$B$71:$B$790,$A139,'Financial Analysis'!$C$71:$C$790,"&gt;="&amp;'Assumptions &amp; Data'!$C$62)</f>
        <v>39.2006733399022</v>
      </c>
      <c r="K139" s="40" t="n">
        <f aca="false">SUMIFS('Financial Analysis'!$R$71:$R$790,'Financial Analysis'!$B$71:$B$790,$A139,'Financial Analysis'!$C$71:$C$790,"&gt;="&amp;'Assumptions &amp; Data'!$C$62)/AVERAGEIFS('Assumptions &amp; Data'!$M$205:$M$924,'Assumptions &amp; Data'!$B$205:$B$924,$A139,'Assumptions &amp; Data'!$C$205:$C$924,"&gt;="&amp;'Assumptions &amp; Data'!$C$62)/'Assumptions &amp; Data'!$C$85</f>
        <v>25.3333333333333</v>
      </c>
      <c r="L139" s="40" t="n">
        <f aca="false">E139/K139</f>
        <v>46.5931064073227</v>
      </c>
      <c r="M139" s="40" t="n">
        <f aca="false">SUMIFS('Financial Analysis'!$Q$71:$Q$790,'Financial Analysis'!$B$71:$B$790,$A139,'Financial Analysis'!$C$71:$C$790,"&gt;="&amp;'Assumptions &amp; Data'!$C$62)/SUMIFS('Financial Analysis'!$E$71:$E$790,'Financial Analysis'!$B$71:$B$790,$A139,'Financial Analysis'!$C$71:$C$790,"&gt;="&amp;'Assumptions &amp; Data'!$C$62)</f>
        <v>68.5420669893105</v>
      </c>
      <c r="N139" s="40" t="n">
        <f aca="false">SUMIFS('Financial Analysis'!$Y$71:$Y$790,'Financial Analysis'!$B$71:$B$790,$A139,'Financial Analysis'!$C$71:$C$790,"&gt;="&amp;'Assumptions &amp; Data'!$C$62)/'Assumptions &amp; Data'!$C$85/100000</f>
        <v>14.4576066666667</v>
      </c>
      <c r="O139" s="40" t="n">
        <f aca="false">SUMIFS('Financial Analysis'!$V$71:$V$790,'Financial Analysis'!$B$71:$B$790,$A139,'Financial Analysis'!$C$71:$C$790,"&gt;="&amp;'Assumptions &amp; Data'!$C$62)/'Assumptions &amp; Data'!$C$85/100000</f>
        <v>10.3530222685673</v>
      </c>
      <c r="P139" s="49" t="n">
        <f aca="false">O139/F139</f>
        <v>0.0467187976365208</v>
      </c>
      <c r="Q139" s="39" t="n">
        <f aca="false">IF(M139&gt;0,N139*100000/(M139*'Assumptions &amp; Data'!$C$63/'Assumptions &amp; Data'!$C$85),9999)</f>
        <v>687.816572158086</v>
      </c>
      <c r="R139" s="49" t="n">
        <f aca="false">E139/Q139-1</f>
        <v>0.716095167565815</v>
      </c>
      <c r="S139" s="50" t="n">
        <f aca="false">'Assumptions &amp; Data'!E175</f>
        <v>49.3</v>
      </c>
      <c r="T139" s="50" t="n">
        <f aca="false">'Assumptions &amp; Data'!G175</f>
        <v>3.3</v>
      </c>
      <c r="U139" s="49" t="n">
        <f aca="false">MAX(0,('Assumptions &amp; Data'!$C$72-T139)/'Assumptions &amp; Data'!$C$72)*'Assumptions &amp; Data'!$C$73</f>
        <v>0</v>
      </c>
      <c r="V139" s="39" t="n">
        <f aca="false">S139*$B$6*(1-U139)</f>
        <v>1756.14121775931</v>
      </c>
      <c r="W139" s="49" t="n">
        <f aca="false">V139/E139-1</f>
        <v>0.487803007872111</v>
      </c>
      <c r="X139" s="39" t="n">
        <f aca="false">IF(D139&gt;='Assumptions &amp; Data'!$C$64,1,0)</f>
        <v>1</v>
      </c>
      <c r="Y139" s="40" t="n">
        <f aca="false">IF(AND(X139=1,T139&gt;='Assumptions &amp; Data'!$C$72),E139/S139,"")</f>
        <v>23.9423670517682</v>
      </c>
      <c r="Z139" s="49" t="n">
        <f aca="false">IF(X139=1,H139,"")</f>
        <v>0.0518702637617742</v>
      </c>
      <c r="AA139" s="49" t="n">
        <f aca="false">IF(X139=1,I139,"")</f>
        <v>0.0169924025497563</v>
      </c>
      <c r="AB139" s="40" t="n">
        <f aca="false">IF(X139=1,J139,"")</f>
        <v>39.2006733399022</v>
      </c>
      <c r="AC139" s="40" t="n">
        <f aca="false">IF(X139=1,L139,"")</f>
        <v>46.5931064073227</v>
      </c>
      <c r="AD139" s="40" t="n">
        <f aca="false">IF(X139=1,AP139/E139*100,"")</f>
        <v>381.240043096701</v>
      </c>
      <c r="AE139" s="40" t="n">
        <f aca="false">IF(X139=1,M139,"")</f>
        <v>68.5420669893105</v>
      </c>
      <c r="AF139" s="40" t="n">
        <f aca="false">E139*'Assumptions &amp; Data'!$C$63/'Assumptions &amp; Data'!$C$85*G139/100000</f>
        <v>233.726375</v>
      </c>
      <c r="AG139" s="49" t="n">
        <f aca="false">MAX(0,H139-$B$7)</f>
        <v>0</v>
      </c>
      <c r="AH139" s="40" t="n">
        <f aca="false">AG139*AF139</f>
        <v>0</v>
      </c>
      <c r="AI139" s="40" t="n">
        <f aca="false">AG139*100*E139*'Assumptions &amp; Data'!$C$63/'Assumptions &amp; Data'!$C$85*M139/100000</f>
        <v>0</v>
      </c>
      <c r="AJ139" s="49" t="n">
        <f aca="false">MAX(0,I139-$B$8)</f>
        <v>0</v>
      </c>
      <c r="AK139" s="40" t="n">
        <f aca="false">AJ139*F139</f>
        <v>0</v>
      </c>
      <c r="AL139" s="40" t="n">
        <f aca="false">MAX(0,K139-E139/$B$10)</f>
        <v>0</v>
      </c>
      <c r="AM139" s="40" t="n">
        <f aca="false">AL139*BN139/K139</f>
        <v>0</v>
      </c>
      <c r="AN139" s="40" t="n">
        <f aca="false">MAX(0,J139-$B$9)</f>
        <v>0.994516743441444</v>
      </c>
      <c r="AO139" s="40" t="n">
        <f aca="false">AN139*E139*'Assumptions &amp; Data'!$C$63/'Assumptions &amp; Data'!$C$85/100000</f>
        <v>0.359991855735123</v>
      </c>
      <c r="AP139" s="37" t="n">
        <f aca="false">'Assumptions &amp; Data'!H175</f>
        <v>4500</v>
      </c>
      <c r="AQ139" s="39" t="n">
        <f aca="false">MIN(AP139,$B$11*E139/100)</f>
        <v>4500</v>
      </c>
      <c r="AR139" s="39" t="n">
        <f aca="false">IF(AP139-AQ139&gt;'Assumptions &amp; Data'!$C$78*AP139,AP139-AQ139,0)</f>
        <v>0</v>
      </c>
      <c r="AS139" s="50" t="n">
        <f aca="false">'Assumptions &amp; Data'!I175</f>
        <v>123</v>
      </c>
      <c r="AT139" s="40" t="n">
        <f aca="false">INDEX('Assumptions &amp; Data'!$B$89:$E$94,MATCH(B139,'Assumptions &amp; Data'!$A$89:$A$94,0),MATCH(C139,'Assumptions &amp; Data'!$B$88:$E$88,0))</f>
        <v>95</v>
      </c>
      <c r="AU139" s="39" t="n">
        <f aca="false">IF(BY139&lt;='Assumptions &amp; Data'!$C$79,1,0)</f>
        <v>1</v>
      </c>
      <c r="AV139" s="40" t="n">
        <f aca="false">AU139*(AR139*AS139+MAX(0,AS139-AT139)*(AP139-AR139))/100000</f>
        <v>1.26</v>
      </c>
      <c r="AW139" s="40" t="n">
        <f aca="false">'Assumptions &amp; Data'!$C$67*(AH139-'Assumptions &amp; Data'!$C$68*AI139+AK139+AM139+AO139+AV139)</f>
        <v>0.971995113441074</v>
      </c>
      <c r="AX139" s="40" t="n">
        <f aca="false">O139+AW139</f>
        <v>11.3250173820084</v>
      </c>
      <c r="AY139" s="49" t="n">
        <f aca="false">IF(D139&lt;'Assumptions &amp; Data'!$C$64,'Assumptions &amp; Data'!$C$70,'Assumptions &amp; Data'!$C$69)</f>
        <v>0.5</v>
      </c>
      <c r="AZ139" s="40" t="n">
        <f aca="false">AY139*MAX(0,V139-E139)*'Assumptions &amp; Data'!$C$63/'Assumptions &amp; Data'!$C$85*(M139-'Assumptions &amp; Data'!$C$71)/100000</f>
        <v>5.16848317700537</v>
      </c>
      <c r="BA139" s="40" t="n">
        <f aca="false">AX139+AZ139</f>
        <v>16.4935005590137</v>
      </c>
      <c r="BB139" s="40" t="n">
        <f aca="false">BA139+(1-'Assumptions &amp; Data'!$C$67)*AV139</f>
        <v>16.9975005590137</v>
      </c>
      <c r="BC139" s="48" t="str">
        <f aca="false">'Assumptions &amp; Data'!F175</f>
        <v>DS031</v>
      </c>
      <c r="BD139" s="39" t="n">
        <f aca="false">INDEX('Assumptions &amp; Data'!$K$142:$K$201,MATCH(BC139,'Assumptions &amp; Data'!$A$142:$A$201,0))*'Assumptions &amp; Data'!$C$77</f>
        <v>1134</v>
      </c>
      <c r="BE139" s="39" t="n">
        <f aca="false">MAX(0,BD139-INDEX($E$106:$E$165,MATCH(BC139,$A$106:$A$165,0)))</f>
        <v>0</v>
      </c>
      <c r="BF139" s="39" t="n">
        <f aca="false">IF(T139&lt;='Assumptions &amp; Data'!$C$74,MIN('Assumptions &amp; Data'!$C$76*E139,BE139),0)</f>
        <v>0</v>
      </c>
      <c r="BG139" s="40" t="n">
        <f aca="false">-O139+BF139*'Assumptions &amp; Data'!$C$63/'Assumptions &amp; Data'!$C$85*($B$12-'Assumptions &amp; Data'!$C$71)/100000</f>
        <v>-10.3530222685673</v>
      </c>
      <c r="BH139" s="40" t="n">
        <f aca="false">(AS139*AP139*BY139*'Assumptions &amp; Data'!$C$82+K139*(BN139*100000/K139)*'Assumptions &amp; Data'!$C$80*(1-'Assumptions &amp; Data'!$C$81)+AP139*'Assumptions &amp; Data'!$C$83)/100000</f>
        <v>27.0666</v>
      </c>
      <c r="BI139" s="40" t="n">
        <f aca="false">'Assumptions &amp; Data'!L175*MAX(0,1-D139/'Assumptions &amp; Data'!$C$84)</f>
        <v>65.5714285714286</v>
      </c>
      <c r="BJ139" s="40" t="n">
        <f aca="false">IF(BG139&gt;0,BH139/BG139,99)</f>
        <v>99</v>
      </c>
      <c r="BK139" s="2" t="str">
        <f aca="false">IF(AND(P139&gt;='Assumptions &amp; Data'!$C$65,R139&gt;=0,W139&gt;='Assumptions &amp; Data'!$C$66),"Scale",IF(OR(O139&gt;=0,AX139&gt;=0),"Optimise",IF(BA139&gt;=0,"Turn around",IF(BB139&gt;=0,"Relocate or resize",IF(AND(BF139&gt;0,BJ139&lt;='Assumptions &amp; Data'!$C$75,D139&gt;='Assumptions &amp; Data'!$C$64),"Close","Relocate or resize")))))</f>
        <v>Scale</v>
      </c>
      <c r="BL139" s="42" t="str">
        <f aca="false">INDEX($BK$106:$BK$165,MATCH(BC139,$A$106:$A$165,0))</f>
        <v>Scale</v>
      </c>
      <c r="BM139" s="42" t="str">
        <f aca="false">IF(RANK(P139,$P$106:$P$165)&lt;=ROUND(COUNT($P$106:$P$165)/4,0),"Q1 top",IF(RANK(P139,$P$106:$P$165)&gt;COUNT($P$106:$P$165)-ROUND(COUNT($P$106:$P$165)/4,0),"Q4 bottom","Q2-Q3 middle"))</f>
        <v>Q1 top</v>
      </c>
      <c r="BN139" s="40" t="n">
        <f aca="false">SUMIFS('Financial Analysis'!$R$71:$R$790,'Financial Analysis'!$B$71:$B$790,$A139,'Financial Analysis'!$C$71:$C$790,"&gt;="&amp;'Assumptions &amp; Data'!$C$62)/'Assumptions &amp; Data'!$C$85/100000</f>
        <v>5.624</v>
      </c>
      <c r="BO139" s="40" t="n">
        <f aca="false">SUMIFS('Financial Analysis'!$H$71:$H$790,'Financial Analysis'!$B$71:$B$790,$A139,'Financial Analysis'!$C$71:$C$790,"&gt;="&amp;'Assumptions &amp; Data'!$C$62)/SUMIFS('Financial Analysis'!$E$71:$E$790,'Financial Analysis'!$B$71:$B$790,$A139,'Financial Analysis'!$C$71:$C$790,"&gt;="&amp;'Assumptions &amp; Data'!$C$62)</f>
        <v>612.202240330408</v>
      </c>
      <c r="BP139" s="40" t="n">
        <f aca="false">(SUMIFS('Financial Analysis'!$I$71:$I$790,'Financial Analysis'!$B$71:$B$790,$A139,'Financial Analysis'!$C$71:$C$790,"&gt;="&amp;'Assumptions &amp; Data'!$C$62)+SUMIFS('Financial Analysis'!$J$71:$J$790,'Financial Analysis'!$B$71:$B$790,$A139,'Financial Analysis'!$C$71:$C$790,"&gt;="&amp;'Assumptions &amp; Data'!$C$62)+SUMIFS('Financial Analysis'!$K$71:$K$790,'Financial Analysis'!$B$71:$B$790,$A139,'Financial Analysis'!$C$71:$C$790,"&gt;="&amp;'Assumptions &amp; Data'!$C$62))/SUMIFS('Financial Analysis'!$E$71:$E$790,'Financial Analysis'!$B$71:$B$790,$A139,'Financial Analysis'!$C$71:$C$790,"&gt;="&amp;'Assumptions &amp; Data'!$C$62)</f>
        <v>134.67507197721</v>
      </c>
      <c r="BQ139" s="40" t="n">
        <f aca="false">SUMIFS('Financial Analysis'!$L$71:$L$790,'Financial Analysis'!$B$71:$B$790,$A139,'Financial Analysis'!$C$71:$C$790,"&gt;="&amp;'Assumptions &amp; Data'!$C$62)/SUMIFS('Financial Analysis'!$E$71:$E$790,'Financial Analysis'!$B$71:$B$790,$A139,'Financial Analysis'!$C$71:$C$790,"&gt;="&amp;'Assumptions &amp; Data'!$C$62)</f>
        <v>10.4027869095569</v>
      </c>
      <c r="BR139" s="40" t="n">
        <f aca="false">SUMIFS('Financial Analysis'!$L$71:$L$790,'Financial Analysis'!$B$71:$B$790,$A139,'Financial Analysis'!$C$71:$C$790,"&gt;="&amp;'Assumptions &amp; Data'!$C$62)/SUMIFS('Financial Analysis'!$E$71:$E$790,'Financial Analysis'!$B$71:$B$790,$A139,'Financial Analysis'!$C$71:$C$790,"&gt;="&amp;'Assumptions &amp; Data'!$C$62)</f>
        <v>10.4027869095569</v>
      </c>
      <c r="BS139" s="40" t="n">
        <f aca="false">SUMIFS('Financial Analysis'!$N$71:$N$790,'Financial Analysis'!$B$71:$B$790,$A139,'Financial Analysis'!$C$71:$C$790,"&gt;="&amp;'Assumptions &amp; Data'!$C$62)/SUMIFS('Financial Analysis'!$E$71:$E$790,'Financial Analysis'!$B$71:$B$790,$A139,'Financial Analysis'!$C$71:$C$790,"&gt;="&amp;'Assumptions &amp; Data'!$C$62)</f>
        <v>39.2006733399022</v>
      </c>
      <c r="BT139" s="40" t="n">
        <f aca="false">(SUMIFS('Financial Analysis'!$O$71:$O$790,'Financial Analysis'!$B$71:$B$790,$A139,'Financial Analysis'!$C$71:$C$790,"&gt;="&amp;'Assumptions &amp; Data'!$C$62)+SUMIFS('Financial Analysis'!$P$71:$P$790,'Financial Analysis'!$B$71:$B$790,$A139,'Financial Analysis'!$C$71:$C$790,"&gt;="&amp;'Assumptions &amp; Data'!$C$62))/SUMIFS('Financial Analysis'!$E$71:$E$790,'Financial Analysis'!$B$71:$B$790,$A139,'Financial Analysis'!$C$71:$C$790,"&gt;="&amp;'Assumptions &amp; Data'!$C$62)</f>
        <v>16.5295447384402</v>
      </c>
      <c r="BU139" s="40" t="n">
        <f aca="false">SUMIFS('Financial Analysis'!$R$71:$R$790,'Financial Analysis'!$B$71:$B$790,$A139,'Financial Analysis'!$C$71:$C$790,"&gt;="&amp;'Assumptions &amp; Data'!$C$62)/SUMIFS('Financial Analysis'!$E$71:$E$790,'Financial Analysis'!$B$71:$B$790,$A139,'Financial Analysis'!$C$71:$C$790,"&gt;="&amp;'Assumptions &amp; Data'!$C$62)</f>
        <v>15.5369130606945</v>
      </c>
      <c r="BV139" s="40" t="n">
        <f aca="false">SUMIFS('Financial Analysis'!$S$71:$S$790,'Financial Analysis'!$B$71:$B$790,$A139,'Financial Analysis'!$C$71:$C$790,"&gt;="&amp;'Assumptions &amp; Data'!$C$62)/SUMIFS('Financial Analysis'!$E$71:$E$790,'Financial Analysis'!$B$71:$B$790,$A139,'Financial Analysis'!$C$71:$C$790,"&gt;="&amp;'Assumptions &amp; Data'!$C$62)</f>
        <v>15.2910408589872</v>
      </c>
      <c r="BW139" s="40" t="n">
        <f aca="false">(SUMIFS('Financial Analysis'!$T$71:$T$790,'Financial Analysis'!$B$71:$B$790,$A139,'Financial Analysis'!$C$71:$C$790,"&gt;="&amp;'Assumptions &amp; Data'!$C$62)+SUMIFS('Financial Analysis'!$U$71:$U$790,'Financial Analysis'!$B$71:$B$790,$A139,'Financial Analysis'!$C$71:$C$790,"&gt;="&amp;'Assumptions &amp; Data'!$C$62))/SUMIFS('Financial Analysis'!$E$71:$E$790,'Financial Analysis'!$B$71:$B$790,$A139,'Financial Analysis'!$C$71:$C$790,"&gt;="&amp;'Assumptions &amp; Data'!$C$62)</f>
        <v>9.11276049100771</v>
      </c>
      <c r="BX139" s="40" t="n">
        <f aca="false">SUMIFS('Financial Analysis'!$V$71:$V$790,'Financial Analysis'!$B$71:$B$790,$A139,'Financial Analysis'!$C$71:$C$790,"&gt;="&amp;'Assumptions &amp; Data'!$C$62)/SUMIFS('Financial Analysis'!$E$71:$E$790,'Financial Analysis'!$B$71:$B$790,$A139,'Financial Analysis'!$C$71:$C$790,"&gt;="&amp;'Assumptions &amp; Data'!$C$62)</f>
        <v>28.601352578621</v>
      </c>
      <c r="BY139" s="37" t="n">
        <f aca="false">'Assumptions &amp; Data'!J175</f>
        <v>6</v>
      </c>
      <c r="BZ139" s="39" t="str">
        <f aca="false">IF(BK139="Close",COUNTIF($BK$106:BK139,"Close"),"")</f>
        <v/>
      </c>
    </row>
    <row r="140" customFormat="false" ht="15" hidden="false" customHeight="false" outlineLevel="0" collapsed="false">
      <c r="A140" s="48" t="str">
        <f aca="false">'Assumptions &amp; Data'!A176</f>
        <v>DS035</v>
      </c>
      <c r="B140" s="48" t="str">
        <f aca="false">'Assumptions &amp; Data'!B176</f>
        <v>Bengaluru</v>
      </c>
      <c r="C140" s="48" t="str">
        <f aca="false">'Assumptions &amp; Data'!C176</f>
        <v>Dense residential</v>
      </c>
      <c r="D140" s="37" t="n">
        <f aca="false">'Assumptions &amp; Data'!D176</f>
        <v>15</v>
      </c>
      <c r="E140" s="39" t="n">
        <f aca="false">SUMIFS('Financial Analysis'!$E$71:$E$790,'Financial Analysis'!$B$71:$B$790,$A140,'Financial Analysis'!$C$71:$C$790,"&gt;="&amp;'Assumptions &amp; Data'!$C$62)/'Assumptions &amp; Data'!$C$63</f>
        <v>1049.25</v>
      </c>
      <c r="F140" s="40" t="n">
        <f aca="false">SUMIFS('Financial Analysis'!$H$71:$H$790,'Financial Analysis'!$B$71:$B$790,$A140,'Financial Analysis'!$C$71:$C$790,"&gt;="&amp;'Assumptions &amp; Data'!$C$62)/'Assumptions &amp; Data'!$C$85/100000</f>
        <v>214.9681904088</v>
      </c>
      <c r="G140" s="40" t="n">
        <f aca="false">SUMIFS('Financial Analysis'!$F$71:$F$790,'Financial Analysis'!$B$71:$B$790,$A140,'Financial Analysis'!$C$71:$C$790,"&gt;="&amp;'Assumptions &amp; Data'!$C$62)/SUMIFS('Financial Analysis'!$E$71:$E$790,'Financial Analysis'!$B$71:$B$790,$A140,'Financial Analysis'!$C$71:$C$790,"&gt;="&amp;'Assumptions &amp; Data'!$C$62)</f>
        <v>705.813354259254</v>
      </c>
      <c r="H140" s="49" t="n">
        <f aca="false">SUMIFS('Financial Analysis'!$G$71:$G$790,'Financial Analysis'!$B$71:$B$790,$A140,'Financial Analysis'!$C$71:$C$790,"&gt;="&amp;'Assumptions &amp; Data'!$C$62)/SUMIFS('Financial Analysis'!$F$71:$F$790,'Financial Analysis'!$B$71:$B$790,$A140,'Financial Analysis'!$C$71:$C$790,"&gt;="&amp;'Assumptions &amp; Data'!$C$62)</f>
        <v>0.0534604198555919</v>
      </c>
      <c r="I140" s="49" t="n">
        <f aca="false">SUMIFS('Financial Analysis'!$L$71:$L$790,'Financial Analysis'!$B$71:$B$790,$A140,'Financial Analysis'!$C$71:$C$790,"&gt;="&amp;'Assumptions &amp; Data'!$C$62)/SUMIFS('Financial Analysis'!$H$71:$H$790,'Financial Analysis'!$B$71:$B$790,$A140,'Financial Analysis'!$C$71:$C$790,"&gt;="&amp;'Assumptions &amp; Data'!$C$62)</f>
        <v>0.0236083298690101</v>
      </c>
      <c r="J140" s="40" t="n">
        <f aca="false">SUMIFS('Financial Analysis'!$N$71:$N$790,'Financial Analysis'!$B$71:$B$790,$A140,'Financial Analysis'!$C$71:$C$790,"&gt;="&amp;'Assumptions &amp; Data'!$C$62)/SUMIFS('Financial Analysis'!$E$71:$E$790,'Financial Analysis'!$B$71:$B$790,$A140,'Financial Analysis'!$C$71:$C$790,"&gt;="&amp;'Assumptions &amp; Data'!$C$62)</f>
        <v>40.1582990956273</v>
      </c>
      <c r="K140" s="40" t="n">
        <f aca="false">SUMIFS('Financial Analysis'!$R$71:$R$790,'Financial Analysis'!$B$71:$B$790,$A140,'Financial Analysis'!$C$71:$C$790,"&gt;="&amp;'Assumptions &amp; Data'!$C$62)/AVERAGEIFS('Assumptions &amp; Data'!$M$205:$M$924,'Assumptions &amp; Data'!$B$205:$B$924,$A140,'Assumptions &amp; Data'!$C$205:$C$924,"&gt;="&amp;'Assumptions &amp; Data'!$C$62)/'Assumptions &amp; Data'!$C$85</f>
        <v>25.3345345345345</v>
      </c>
      <c r="L140" s="40" t="n">
        <f aca="false">E140/K140</f>
        <v>41.4157993931061</v>
      </c>
      <c r="M140" s="40" t="n">
        <f aca="false">SUMIFS('Financial Analysis'!$Q$71:$Q$790,'Financial Analysis'!$B$71:$B$790,$A140,'Financial Analysis'!$C$71:$C$790,"&gt;="&amp;'Assumptions &amp; Data'!$C$62)/SUMIFS('Financial Analysis'!$E$71:$E$790,'Financial Analysis'!$B$71:$B$790,$A140,'Financial Analysis'!$C$71:$C$790,"&gt;="&amp;'Assumptions &amp; Data'!$C$62)</f>
        <v>69.746961438007</v>
      </c>
      <c r="N140" s="40" t="n">
        <f aca="false">SUMIFS('Financial Analysis'!$Y$71:$Y$790,'Financial Analysis'!$B$71:$B$790,$A140,'Financial Analysis'!$C$71:$C$790,"&gt;="&amp;'Assumptions &amp; Data'!$C$62)/'Assumptions &amp; Data'!$C$85/100000</f>
        <v>15.5270466666667</v>
      </c>
      <c r="O140" s="40" t="n">
        <f aca="false">SUMIFS('Financial Analysis'!$V$71:$V$790,'Financial Analysis'!$B$71:$B$790,$A140,'Financial Analysis'!$C$71:$C$790,"&gt;="&amp;'Assumptions &amp; Data'!$C$62)/'Assumptions &amp; Data'!$C$85/100000</f>
        <v>6.91543311524085</v>
      </c>
      <c r="P140" s="49" t="n">
        <f aca="false">O140/F140</f>
        <v>0.0321695647253202</v>
      </c>
      <c r="Q140" s="39" t="n">
        <f aca="false">IF(M140&gt;0,N140*100000/(M140*'Assumptions &amp; Data'!$C$63/'Assumptions &amp; Data'!$C$85),9999)</f>
        <v>725.933759251237</v>
      </c>
      <c r="R140" s="49" t="n">
        <f aca="false">E140/Q140-1</f>
        <v>0.445379811351172</v>
      </c>
      <c r="S140" s="50" t="n">
        <f aca="false">'Assumptions &amp; Data'!E176</f>
        <v>34.1</v>
      </c>
      <c r="T140" s="50" t="n">
        <f aca="false">'Assumptions &amp; Data'!G176</f>
        <v>2.8</v>
      </c>
      <c r="U140" s="49" t="n">
        <f aca="false">MAX(0,('Assumptions &amp; Data'!$C$72-T140)/'Assumptions &amp; Data'!$C$72)*'Assumptions &amp; Data'!$C$73</f>
        <v>0</v>
      </c>
      <c r="V140" s="39" t="n">
        <f aca="false">S140*$B$6*(1-U140)</f>
        <v>1214.69402688828</v>
      </c>
      <c r="W140" s="49" t="n">
        <f aca="false">V140/E140-1</f>
        <v>0.157678367298816</v>
      </c>
      <c r="X140" s="39" t="n">
        <f aca="false">IF(D140&gt;='Assumptions &amp; Data'!$C$64,1,0)</f>
        <v>1</v>
      </c>
      <c r="Y140" s="40" t="n">
        <f aca="false">IF(AND(X140=1,T140&gt;='Assumptions &amp; Data'!$C$72),E140/S140,"")</f>
        <v>30.7697947214076</v>
      </c>
      <c r="Z140" s="49" t="n">
        <f aca="false">IF(X140=1,H140,"")</f>
        <v>0.0534604198555919</v>
      </c>
      <c r="AA140" s="49" t="n">
        <f aca="false">IF(X140=1,I140,"")</f>
        <v>0.0236083298690101</v>
      </c>
      <c r="AB140" s="40" t="n">
        <f aca="false">IF(X140=1,J140,"")</f>
        <v>40.1582990956273</v>
      </c>
      <c r="AC140" s="40" t="n">
        <f aca="false">IF(X140=1,L140,"")</f>
        <v>41.4157993931061</v>
      </c>
      <c r="AD140" s="40" t="n">
        <f aca="false">IF(X140=1,AP140/E140*100,"")</f>
        <v>476.530855372885</v>
      </c>
      <c r="AE140" s="40" t="n">
        <f aca="false">IF(X140=1,M140,"")</f>
        <v>69.746961438007</v>
      </c>
      <c r="AF140" s="40" t="n">
        <f aca="false">E140*'Assumptions &amp; Data'!$C$63/'Assumptions &amp; Data'!$C$85*G140/100000</f>
        <v>227.109563</v>
      </c>
      <c r="AG140" s="49" t="n">
        <f aca="false">MAX(0,H140-$B$7)</f>
        <v>0</v>
      </c>
      <c r="AH140" s="40" t="n">
        <f aca="false">AG140*AF140</f>
        <v>0</v>
      </c>
      <c r="AI140" s="40" t="n">
        <f aca="false">AG140*100*E140*'Assumptions &amp; Data'!$C$63/'Assumptions &amp; Data'!$C$85*M140/100000</f>
        <v>0</v>
      </c>
      <c r="AJ140" s="49" t="n">
        <f aca="false">MAX(0,I140-$B$8)</f>
        <v>0.00220373615872298</v>
      </c>
      <c r="AK140" s="40" t="n">
        <f aca="false">AJ140*F140</f>
        <v>0.473733174179119</v>
      </c>
      <c r="AL140" s="40" t="n">
        <f aca="false">MAX(0,K140-E140/$B$10)</f>
        <v>0</v>
      </c>
      <c r="AM140" s="40" t="n">
        <f aca="false">AL140*BN140/K140</f>
        <v>0</v>
      </c>
      <c r="AN140" s="40" t="n">
        <f aca="false">MAX(0,J140-$B$9)</f>
        <v>1.95214249916656</v>
      </c>
      <c r="AO140" s="40" t="n">
        <f aca="false">AN140*E140*'Assumptions &amp; Data'!$C$63/'Assumptions &amp; Data'!$C$85/100000</f>
        <v>0.628140891956823</v>
      </c>
      <c r="AP140" s="37" t="n">
        <f aca="false">'Assumptions &amp; Data'!H176</f>
        <v>5000</v>
      </c>
      <c r="AQ140" s="39" t="n">
        <f aca="false">MIN(AP140,$B$11*E140/100)</f>
        <v>4031.60508714828</v>
      </c>
      <c r="AR140" s="39" t="n">
        <f aca="false">IF(AP140-AQ140&gt;'Assumptions &amp; Data'!$C$78*AP140,AP140-AQ140,0)</f>
        <v>968.394912851723</v>
      </c>
      <c r="AS140" s="50" t="n">
        <f aca="false">'Assumptions &amp; Data'!I176</f>
        <v>106</v>
      </c>
      <c r="AT140" s="40" t="n">
        <f aca="false">INDEX('Assumptions &amp; Data'!$B$89:$E$94,MATCH(B140,'Assumptions &amp; Data'!$A$89:$A$94,0),MATCH(C140,'Assumptions &amp; Data'!$B$88:$E$88,0))</f>
        <v>136</v>
      </c>
      <c r="AU140" s="39" t="n">
        <f aca="false">IF(BY140&lt;='Assumptions &amp; Data'!$C$79,1,0)</f>
        <v>1</v>
      </c>
      <c r="AV140" s="40" t="n">
        <f aca="false">AU140*(AR140*AS140+MAX(0,AS140-AT140)*(AP140-AR140))/100000</f>
        <v>1.02649860762283</v>
      </c>
      <c r="AW140" s="40" t="n">
        <f aca="false">'Assumptions &amp; Data'!$C$67*(AH140-'Assumptions &amp; Data'!$C$68*AI140+AK140+AM140+AO140+AV140)</f>
        <v>1.27702360425526</v>
      </c>
      <c r="AX140" s="40" t="n">
        <f aca="false">O140+AW140</f>
        <v>8.19245671949611</v>
      </c>
      <c r="AY140" s="49" t="n">
        <f aca="false">IF(D140&lt;'Assumptions &amp; Data'!$C$64,'Assumptions &amp; Data'!$C$70,'Assumptions &amp; Data'!$C$69)</f>
        <v>0.5</v>
      </c>
      <c r="AZ140" s="40" t="n">
        <f aca="false">AY140*MAX(0,V140-E140)*'Assumptions &amp; Data'!$C$63/'Assumptions &amp; Data'!$C$85*(M140-'Assumptions &amp; Data'!$C$71)/100000</f>
        <v>1.51566594384523</v>
      </c>
      <c r="BA140" s="40" t="n">
        <f aca="false">AX140+AZ140</f>
        <v>9.70812266334134</v>
      </c>
      <c r="BB140" s="40" t="n">
        <f aca="false">BA140+(1-'Assumptions &amp; Data'!$C$67)*AV140</f>
        <v>10.1187221063905</v>
      </c>
      <c r="BC140" s="48" t="str">
        <f aca="false">'Assumptions &amp; Data'!F176</f>
        <v>DS037</v>
      </c>
      <c r="BD140" s="39" t="n">
        <f aca="false">INDEX('Assumptions &amp; Data'!$K$142:$K$201,MATCH(BC140,'Assumptions &amp; Data'!$A$142:$A$201,0))*'Assumptions &amp; Data'!$C$77</f>
        <v>972</v>
      </c>
      <c r="BE140" s="39" t="n">
        <f aca="false">MAX(0,BD140-INDEX($E$106:$E$165,MATCH(BC140,$A$106:$A$165,0)))</f>
        <v>0</v>
      </c>
      <c r="BF140" s="39" t="n">
        <f aca="false">IF(T140&lt;='Assumptions &amp; Data'!$C$74,MIN('Assumptions &amp; Data'!$C$76*E140,BE140),0)</f>
        <v>0</v>
      </c>
      <c r="BG140" s="40" t="n">
        <f aca="false">-O140+BF140*'Assumptions &amp; Data'!$C$63/'Assumptions &amp; Data'!$C$85*($B$12-'Assumptions &amp; Data'!$C$71)/100000</f>
        <v>-6.91543311524085</v>
      </c>
      <c r="BH140" s="40" t="n">
        <f aca="false">(AS140*AP140*BY140*'Assumptions &amp; Data'!$C$82+K140*(BN140*100000/K140)*'Assumptions &amp; Data'!$C$80*(1-'Assumptions &amp; Data'!$C$81)+AP140*'Assumptions &amp; Data'!$C$83)/100000</f>
        <v>11.06184</v>
      </c>
      <c r="BI140" s="40" t="n">
        <f aca="false">'Assumptions &amp; Data'!L176*MAX(0,1-D140/'Assumptions &amp; Data'!$C$84)</f>
        <v>139.642857142857</v>
      </c>
      <c r="BJ140" s="40" t="n">
        <f aca="false">IF(BG140&gt;0,BH140/BG140,99)</f>
        <v>99</v>
      </c>
      <c r="BK140" s="2" t="str">
        <f aca="false">IF(AND(P140&gt;='Assumptions &amp; Data'!$C$65,R140&gt;=0,W140&gt;='Assumptions &amp; Data'!$C$66),"Scale",IF(OR(O140&gt;=0,AX140&gt;=0),"Optimise",IF(BA140&gt;=0,"Turn around",IF(BB140&gt;=0,"Relocate or resize",IF(AND(BF140&gt;0,BJ140&lt;='Assumptions &amp; Data'!$C$75,D140&gt;='Assumptions &amp; Data'!$C$64),"Close","Relocate or resize")))))</f>
        <v>Scale</v>
      </c>
      <c r="BL140" s="42" t="str">
        <f aca="false">INDEX($BK$106:$BK$165,MATCH(BC140,$A$106:$A$165,0))</f>
        <v>Optimise</v>
      </c>
      <c r="BM140" s="42" t="str">
        <f aca="false">IF(RANK(P140,$P$106:$P$165)&lt;=ROUND(COUNT($P$106:$P$165)/4,0),"Q1 top",IF(RANK(P140,$P$106:$P$165)&gt;COUNT($P$106:$P$165)-ROUND(COUNT($P$106:$P$165)/4,0),"Q4 bottom","Q2-Q3 middle"))</f>
        <v>Q2-Q3 middle</v>
      </c>
      <c r="BN140" s="40" t="n">
        <f aca="false">SUMIFS('Financial Analysis'!$R$71:$R$790,'Financial Analysis'!$B$71:$B$790,$A140,'Financial Analysis'!$C$71:$C$790,"&gt;="&amp;'Assumptions &amp; Data'!$C$62)/'Assumptions &amp; Data'!$C$85/100000</f>
        <v>5.62426666666667</v>
      </c>
      <c r="BO140" s="40" t="n">
        <f aca="false">SUMIFS('Financial Analysis'!$H$71:$H$790,'Financial Analysis'!$B$71:$B$790,$A140,'Financial Analysis'!$C$71:$C$790,"&gt;="&amp;'Assumptions &amp; Data'!$C$62)/SUMIFS('Financial Analysis'!$E$71:$E$790,'Financial Analysis'!$B$71:$B$790,$A140,'Financial Analysis'!$C$71:$C$790,"&gt;="&amp;'Assumptions &amp; Data'!$C$62)</f>
        <v>668.08027600087</v>
      </c>
      <c r="BP140" s="40" t="n">
        <f aca="false">(SUMIFS('Financial Analysis'!$I$71:$I$790,'Financial Analysis'!$B$71:$B$790,$A140,'Financial Analysis'!$C$71:$C$790,"&gt;="&amp;'Assumptions &amp; Data'!$C$62)+SUMIFS('Financial Analysis'!$J$71:$J$790,'Financial Analysis'!$B$71:$B$790,$A140,'Financial Analysis'!$C$71:$C$790,"&gt;="&amp;'Assumptions &amp; Data'!$C$62)+SUMIFS('Financial Analysis'!$K$71:$K$790,'Financial Analysis'!$B$71:$B$790,$A140,'Financial Analysis'!$C$71:$C$790,"&gt;="&amp;'Assumptions &amp; Data'!$C$62))/SUMIFS('Financial Analysis'!$E$71:$E$790,'Financial Analysis'!$B$71:$B$790,$A140,'Financial Analysis'!$C$71:$C$790,"&gt;="&amp;'Assumptions &amp; Data'!$C$62)</f>
        <v>142.613127547518</v>
      </c>
      <c r="BQ140" s="40" t="n">
        <f aca="false">SUMIFS('Financial Analysis'!$L$71:$L$790,'Financial Analysis'!$B$71:$B$790,$A140,'Financial Analysis'!$C$71:$C$790,"&gt;="&amp;'Assumptions &amp; Data'!$C$62)/SUMIFS('Financial Analysis'!$E$71:$E$790,'Financial Analysis'!$B$71:$B$790,$A140,'Financial Analysis'!$C$71:$C$790,"&gt;="&amp;'Assumptions &amp; Data'!$C$62)</f>
        <v>15.7722595348078</v>
      </c>
      <c r="BR140" s="40" t="n">
        <f aca="false">SUMIFS('Financial Analysis'!$L$71:$L$790,'Financial Analysis'!$B$71:$B$790,$A140,'Financial Analysis'!$C$71:$C$790,"&gt;="&amp;'Assumptions &amp; Data'!$C$62)/SUMIFS('Financial Analysis'!$E$71:$E$790,'Financial Analysis'!$B$71:$B$790,$A140,'Financial Analysis'!$C$71:$C$790,"&gt;="&amp;'Assumptions &amp; Data'!$C$62)</f>
        <v>15.7722595348078</v>
      </c>
      <c r="BS140" s="40" t="n">
        <f aca="false">SUMIFS('Financial Analysis'!$N$71:$N$790,'Financial Analysis'!$B$71:$B$790,$A140,'Financial Analysis'!$C$71:$C$790,"&gt;="&amp;'Assumptions &amp; Data'!$C$62)/SUMIFS('Financial Analysis'!$E$71:$E$790,'Financial Analysis'!$B$71:$B$790,$A140,'Financial Analysis'!$C$71:$C$790,"&gt;="&amp;'Assumptions &amp; Data'!$C$62)</f>
        <v>40.1582990956273</v>
      </c>
      <c r="BT140" s="40" t="n">
        <f aca="false">(SUMIFS('Financial Analysis'!$O$71:$O$790,'Financial Analysis'!$B$71:$B$790,$A140,'Financial Analysis'!$C$71:$C$790,"&gt;="&amp;'Assumptions &amp; Data'!$C$62)+SUMIFS('Financial Analysis'!$P$71:$P$790,'Financial Analysis'!$B$71:$B$790,$A140,'Financial Analysis'!$C$71:$C$790,"&gt;="&amp;'Assumptions &amp; Data'!$C$62))/SUMIFS('Financial Analysis'!$E$71:$E$790,'Financial Analysis'!$B$71:$B$790,$A140,'Financial Analysis'!$C$71:$C$790,"&gt;="&amp;'Assumptions &amp; Data'!$C$62)</f>
        <v>16.9356074790757</v>
      </c>
      <c r="BU140" s="40" t="n">
        <f aca="false">SUMIFS('Financial Analysis'!$R$71:$R$790,'Financial Analysis'!$B$71:$B$790,$A140,'Financial Analysis'!$C$71:$C$790,"&gt;="&amp;'Assumptions &amp; Data'!$C$62)/SUMIFS('Financial Analysis'!$E$71:$E$790,'Financial Analysis'!$B$71:$B$790,$A140,'Financial Analysis'!$C$71:$C$790,"&gt;="&amp;'Assumptions &amp; Data'!$C$62)</f>
        <v>17.4791517750774</v>
      </c>
      <c r="BV140" s="40" t="n">
        <f aca="false">SUMIFS('Financial Analysis'!$S$71:$S$790,'Financial Analysis'!$B$71:$B$790,$A140,'Financial Analysis'!$C$71:$C$790,"&gt;="&amp;'Assumptions &amp; Data'!$C$62)/SUMIFS('Financial Analysis'!$E$71:$E$790,'Financial Analysis'!$B$71:$B$790,$A140,'Financial Analysis'!$C$71:$C$790,"&gt;="&amp;'Assumptions &amp; Data'!$C$62)</f>
        <v>16.471392609628</v>
      </c>
      <c r="BW140" s="40" t="n">
        <f aca="false">(SUMIFS('Financial Analysis'!$T$71:$T$790,'Financial Analysis'!$B$71:$B$790,$A140,'Financial Analysis'!$C$71:$C$790,"&gt;="&amp;'Assumptions &amp; Data'!$C$62)+SUMIFS('Financial Analysis'!$U$71:$U$790,'Financial Analysis'!$B$71:$B$790,$A140,'Financial Analysis'!$C$71:$C$790,"&gt;="&amp;'Assumptions &amp; Data'!$C$62))/SUMIFS('Financial Analysis'!$E$71:$E$790,'Financial Analysis'!$B$71:$B$790,$A140,'Financial Analysis'!$C$71:$C$790,"&gt;="&amp;'Assumptions &amp; Data'!$C$62)</f>
        <v>14.3045653727818</v>
      </c>
      <c r="BX140" s="40" t="n">
        <f aca="false">SUMIFS('Financial Analysis'!$V$71:$V$790,'Financial Analysis'!$B$71:$B$790,$A140,'Financial Analysis'!$C$71:$C$790,"&gt;="&amp;'Assumptions &amp; Data'!$C$62)/SUMIFS('Financial Analysis'!$E$71:$E$790,'Financial Analysis'!$B$71:$B$790,$A140,'Financial Analysis'!$C$71:$C$790,"&gt;="&amp;'Assumptions &amp; Data'!$C$62)</f>
        <v>21.4918516805198</v>
      </c>
      <c r="BY140" s="37" t="n">
        <f aca="false">'Assumptions &amp; Data'!J176</f>
        <v>0</v>
      </c>
      <c r="BZ140" s="39" t="str">
        <f aca="false">IF(BK140="Close",COUNTIF($BK$106:BK140,"Close"),"")</f>
        <v/>
      </c>
    </row>
    <row r="141" customFormat="false" ht="15" hidden="false" customHeight="false" outlineLevel="0" collapsed="false">
      <c r="A141" s="48" t="str">
        <f aca="false">'Assumptions &amp; Data'!A177</f>
        <v>DS036</v>
      </c>
      <c r="B141" s="48" t="str">
        <f aca="false">'Assumptions &amp; Data'!B177</f>
        <v>Bengaluru</v>
      </c>
      <c r="C141" s="48" t="str">
        <f aca="false">'Assumptions &amp; Data'!C177</f>
        <v>Dense residential</v>
      </c>
      <c r="D141" s="37" t="n">
        <f aca="false">'Assumptions &amp; Data'!D177</f>
        <v>45</v>
      </c>
      <c r="E141" s="39" t="n">
        <f aca="false">SUMIFS('Financial Analysis'!$E$71:$E$790,'Financial Analysis'!$B$71:$B$790,$A141,'Financial Analysis'!$C$71:$C$790,"&gt;="&amp;'Assumptions &amp; Data'!$C$62)/'Assumptions &amp; Data'!$C$63</f>
        <v>1717.98913043478</v>
      </c>
      <c r="F141" s="40" t="n">
        <f aca="false">SUMIFS('Financial Analysis'!$H$71:$H$790,'Financial Analysis'!$B$71:$B$790,$A141,'Financial Analysis'!$C$71:$C$790,"&gt;="&amp;'Assumptions &amp; Data'!$C$62)/'Assumptions &amp; Data'!$C$85/100000</f>
        <v>344.6478202892</v>
      </c>
      <c r="G141" s="40" t="n">
        <f aca="false">SUMIFS('Financial Analysis'!$F$71:$F$790,'Financial Analysis'!$B$71:$B$790,$A141,'Financial Analysis'!$C$71:$C$790,"&gt;="&amp;'Assumptions &amp; Data'!$C$62)/SUMIFS('Financial Analysis'!$E$71:$E$790,'Financial Analysis'!$B$71:$B$790,$A141,'Financial Analysis'!$C$71:$C$790,"&gt;="&amp;'Assumptions &amp; Data'!$C$62)</f>
        <v>688.576623327323</v>
      </c>
      <c r="H141" s="49" t="n">
        <f aca="false">SUMIFS('Financial Analysis'!$G$71:$G$790,'Financial Analysis'!$B$71:$B$790,$A141,'Financial Analysis'!$C$71:$C$790,"&gt;="&amp;'Assumptions &amp; Data'!$C$62)/SUMIFS('Financial Analysis'!$F$71:$F$790,'Financial Analysis'!$B$71:$B$790,$A141,'Financial Analysis'!$C$71:$C$790,"&gt;="&amp;'Assumptions &amp; Data'!$C$62)</f>
        <v>0.0499722804906206</v>
      </c>
      <c r="I141" s="49" t="n">
        <f aca="false">SUMIFS('Financial Analysis'!$L$71:$L$790,'Financial Analysis'!$B$71:$B$790,$A141,'Financial Analysis'!$C$71:$C$790,"&gt;="&amp;'Assumptions &amp; Data'!$C$62)/SUMIFS('Financial Analysis'!$H$71:$H$790,'Financial Analysis'!$B$71:$B$790,$A141,'Financial Analysis'!$C$71:$C$790,"&gt;="&amp;'Assumptions &amp; Data'!$C$62)</f>
        <v>0.0288065960202959</v>
      </c>
      <c r="J141" s="40" t="n">
        <f aca="false">SUMIFS('Financial Analysis'!$N$71:$N$790,'Financial Analysis'!$B$71:$B$790,$A141,'Financial Analysis'!$C$71:$C$790,"&gt;="&amp;'Assumptions &amp; Data'!$C$62)/SUMIFS('Financial Analysis'!$E$71:$E$790,'Financial Analysis'!$B$71:$B$790,$A141,'Financial Analysis'!$C$71:$C$790,"&gt;="&amp;'Assumptions &amp; Data'!$C$62)</f>
        <v>36.8029624497801</v>
      </c>
      <c r="K141" s="40" t="n">
        <f aca="false">SUMIFS('Financial Analysis'!$R$71:$R$790,'Financial Analysis'!$B$71:$B$790,$A141,'Financial Analysis'!$C$71:$C$790,"&gt;="&amp;'Assumptions &amp; Data'!$C$62)/AVERAGEIFS('Assumptions &amp; Data'!$M$205:$M$924,'Assumptions &amp; Data'!$B$205:$B$924,$A141,'Assumptions &amp; Data'!$C$205:$C$924,"&gt;="&amp;'Assumptions &amp; Data'!$C$62)/'Assumptions &amp; Data'!$C$85</f>
        <v>42.3333333333333</v>
      </c>
      <c r="L141" s="40" t="n">
        <f aca="false">E141/K141</f>
        <v>40.5824204039712</v>
      </c>
      <c r="M141" s="40" t="n">
        <f aca="false">SUMIFS('Financial Analysis'!$Q$71:$Q$790,'Financial Analysis'!$B$71:$B$790,$A141,'Financial Analysis'!$C$71:$C$790,"&gt;="&amp;'Assumptions &amp; Data'!$C$62)/SUMIFS('Financial Analysis'!$E$71:$E$790,'Financial Analysis'!$B$71:$B$790,$A141,'Financial Analysis'!$C$71:$C$790,"&gt;="&amp;'Assumptions &amp; Data'!$C$62)</f>
        <v>72.3967163336677</v>
      </c>
      <c r="N141" s="40" t="n">
        <f aca="false">SUMIFS('Financial Analysis'!$Y$71:$Y$790,'Financial Analysis'!$B$71:$B$790,$A141,'Financial Analysis'!$C$71:$C$790,"&gt;="&amp;'Assumptions &amp; Data'!$C$62)/'Assumptions &amp; Data'!$C$85/100000</f>
        <v>19.2371866666667</v>
      </c>
      <c r="O141" s="40" t="n">
        <f aca="false">SUMIFS('Financial Analysis'!$V$71:$V$790,'Financial Analysis'!$B$71:$B$790,$A141,'Financial Analysis'!$C$71:$C$790,"&gt;="&amp;'Assumptions &amp; Data'!$C$62)/'Assumptions &amp; Data'!$C$85/100000</f>
        <v>18.9050233337262</v>
      </c>
      <c r="P141" s="49" t="n">
        <f aca="false">O141/F141</f>
        <v>0.0548531637828512</v>
      </c>
      <c r="Q141" s="39" t="n">
        <f aca="false">IF(M141&gt;0,N141*100000/(M141*'Assumptions &amp; Data'!$C$63/'Assumptions &amp; Data'!$C$85),9999)</f>
        <v>866.475162114044</v>
      </c>
      <c r="R141" s="49" t="n">
        <f aca="false">E141/Q141-1</f>
        <v>0.982733268710436</v>
      </c>
      <c r="S141" s="50" t="n">
        <f aca="false">'Assumptions &amp; Data'!E177</f>
        <v>46.4</v>
      </c>
      <c r="T141" s="50" t="n">
        <f aca="false">'Assumptions &amp; Data'!G177</f>
        <v>3.5</v>
      </c>
      <c r="U141" s="49" t="n">
        <f aca="false">MAX(0,('Assumptions &amp; Data'!$C$72-T141)/'Assumptions &amp; Data'!$C$72)*'Assumptions &amp; Data'!$C$73</f>
        <v>0</v>
      </c>
      <c r="V141" s="39" t="n">
        <f aca="false">S141*$B$6*(1-U141)</f>
        <v>1652.83879318523</v>
      </c>
      <c r="W141" s="49" t="n">
        <f aca="false">V141/E141-1</f>
        <v>-0.0379224385622661</v>
      </c>
      <c r="X141" s="39" t="n">
        <f aca="false">IF(D141&gt;='Assumptions &amp; Data'!$C$64,1,0)</f>
        <v>1</v>
      </c>
      <c r="Y141" s="40" t="n">
        <f aca="false">IF(AND(X141=1,T141&gt;='Assumptions &amp; Data'!$C$72),E141/S141,"")</f>
        <v>37.0256278110945</v>
      </c>
      <c r="Z141" s="49" t="n">
        <f aca="false">IF(X141=1,H141,"")</f>
        <v>0.0499722804906206</v>
      </c>
      <c r="AA141" s="49" t="n">
        <f aca="false">IF(X141=1,I141,"")</f>
        <v>0.0288065960202959</v>
      </c>
      <c r="AB141" s="40" t="n">
        <f aca="false">IF(X141=1,J141,"")</f>
        <v>36.8029624497801</v>
      </c>
      <c r="AC141" s="40" t="n">
        <f aca="false">IF(X141=1,L141,"")</f>
        <v>40.5824204039712</v>
      </c>
      <c r="AD141" s="40" t="n">
        <f aca="false">IF(X141=1,AP141/E141*100,"")</f>
        <v>291.037929834551</v>
      </c>
      <c r="AE141" s="40" t="n">
        <f aca="false">IF(X141=1,M141,"")</f>
        <v>72.3967163336677</v>
      </c>
      <c r="AF141" s="40" t="n">
        <f aca="false">E141*'Assumptions &amp; Data'!$C$63/'Assumptions &amp; Data'!$C$85*G141/100000</f>
        <v>362.776594</v>
      </c>
      <c r="AG141" s="49" t="n">
        <f aca="false">MAX(0,H141-$B$7)</f>
        <v>0</v>
      </c>
      <c r="AH141" s="40" t="n">
        <f aca="false">AG141*AF141</f>
        <v>0</v>
      </c>
      <c r="AI141" s="40" t="n">
        <f aca="false">AG141*100*E141*'Assumptions &amp; Data'!$C$63/'Assumptions &amp; Data'!$C$85*M141/100000</f>
        <v>0</v>
      </c>
      <c r="AJ141" s="49" t="n">
        <f aca="false">MAX(0,I141-$B$8)</f>
        <v>0.00740200231000878</v>
      </c>
      <c r="AK141" s="40" t="n">
        <f aca="false">AJ141*F141</f>
        <v>2.55108396192015</v>
      </c>
      <c r="AL141" s="40" t="n">
        <f aca="false">MAX(0,K141-E141/$B$10)</f>
        <v>0</v>
      </c>
      <c r="AM141" s="40" t="n">
        <f aca="false">AL141*BN141/K141</f>
        <v>0</v>
      </c>
      <c r="AN141" s="40" t="n">
        <f aca="false">MAX(0,J141-$B$9)</f>
        <v>0</v>
      </c>
      <c r="AO141" s="40" t="n">
        <f aca="false">AN141*E141*'Assumptions &amp; Data'!$C$63/'Assumptions &amp; Data'!$C$85/100000</f>
        <v>0</v>
      </c>
      <c r="AP141" s="37" t="n">
        <f aca="false">'Assumptions &amp; Data'!H177</f>
        <v>5000</v>
      </c>
      <c r="AQ141" s="39" t="n">
        <f aca="false">MIN(AP141,$B$11*E141/100)</f>
        <v>5000</v>
      </c>
      <c r="AR141" s="39" t="n">
        <f aca="false">IF(AP141-AQ141&gt;'Assumptions &amp; Data'!$C$78*AP141,AP141-AQ141,0)</f>
        <v>0</v>
      </c>
      <c r="AS141" s="50" t="n">
        <f aca="false">'Assumptions &amp; Data'!I177</f>
        <v>114</v>
      </c>
      <c r="AT141" s="40" t="n">
        <f aca="false">INDEX('Assumptions &amp; Data'!$B$89:$E$94,MATCH(B141,'Assumptions &amp; Data'!$A$89:$A$94,0),MATCH(C141,'Assumptions &amp; Data'!$B$88:$E$88,0))</f>
        <v>136</v>
      </c>
      <c r="AU141" s="39" t="n">
        <f aca="false">IF(BY141&lt;='Assumptions &amp; Data'!$C$79,1,0)</f>
        <v>0</v>
      </c>
      <c r="AV141" s="40" t="n">
        <f aca="false">AU141*(AR141*AS141+MAX(0,AS141-AT141)*(AP141-AR141))/100000</f>
        <v>0</v>
      </c>
      <c r="AW141" s="40" t="n">
        <f aca="false">'Assumptions &amp; Data'!$C$67*(AH141-'Assumptions &amp; Data'!$C$68*AI141+AK141+AM141+AO141+AV141)</f>
        <v>1.53065037715209</v>
      </c>
      <c r="AX141" s="40" t="n">
        <f aca="false">O141+AW141</f>
        <v>20.4356737108782</v>
      </c>
      <c r="AY141" s="49" t="n">
        <f aca="false">IF(D141&lt;'Assumptions &amp; Data'!$C$64,'Assumptions &amp; Data'!$C$70,'Assumptions &amp; Data'!$C$69)</f>
        <v>0.5</v>
      </c>
      <c r="AZ141" s="40" t="n">
        <f aca="false">AY141*MAX(0,V141-E141)*'Assumptions &amp; Data'!$C$63/'Assumptions &amp; Data'!$C$85*(M141-'Assumptions &amp; Data'!$C$71)/100000</f>
        <v>0</v>
      </c>
      <c r="BA141" s="40" t="n">
        <f aca="false">AX141+AZ141</f>
        <v>20.4356737108782</v>
      </c>
      <c r="BB141" s="40" t="n">
        <f aca="false">BA141+(1-'Assumptions &amp; Data'!$C$67)*AV141</f>
        <v>20.4356737108782</v>
      </c>
      <c r="BC141" s="48" t="str">
        <f aca="false">'Assumptions &amp; Data'!F177</f>
        <v>DS029</v>
      </c>
      <c r="BD141" s="39" t="n">
        <f aca="false">INDEX('Assumptions &amp; Data'!$K$142:$K$201,MATCH(BC141,'Assumptions &amp; Data'!$A$142:$A$201,0))*'Assumptions &amp; Data'!$C$77</f>
        <v>1458</v>
      </c>
      <c r="BE141" s="39" t="n">
        <f aca="false">MAX(0,BD141-INDEX($E$106:$E$165,MATCH(BC141,$A$106:$A$165,0)))</f>
        <v>868.20652173913</v>
      </c>
      <c r="BF141" s="39" t="n">
        <f aca="false">IF(T141&lt;='Assumptions &amp; Data'!$C$74,MIN('Assumptions &amp; Data'!$C$76*E141,BE141),0)</f>
        <v>0</v>
      </c>
      <c r="BG141" s="40" t="n">
        <f aca="false">-O141+BF141*'Assumptions &amp; Data'!$C$63/'Assumptions &amp; Data'!$C$85*($B$12-'Assumptions &amp; Data'!$C$71)/100000</f>
        <v>-18.9050233337262</v>
      </c>
      <c r="BH141" s="40" t="n">
        <f aca="false">(AS141*AP141*BY141*'Assumptions &amp; Data'!$C$82+K141*(BN141*100000/K141)*'Assumptions &amp; Data'!$C$80*(1-'Assumptions &amp; Data'!$C$81)+AP141*'Assumptions &amp; Data'!$C$83)/100000</f>
        <v>117.0582</v>
      </c>
      <c r="BI141" s="40" t="n">
        <f aca="false">'Assumptions &amp; Data'!L177*MAX(0,1-D141/'Assumptions &amp; Data'!$C$84)</f>
        <v>78.9285714285714</v>
      </c>
      <c r="BJ141" s="40" t="n">
        <f aca="false">IF(BG141&gt;0,BH141/BG141,99)</f>
        <v>99</v>
      </c>
      <c r="BK141" s="2" t="str">
        <f aca="false">IF(AND(P141&gt;='Assumptions &amp; Data'!$C$65,R141&gt;=0,W141&gt;='Assumptions &amp; Data'!$C$66),"Scale",IF(OR(O141&gt;=0,AX141&gt;=0),"Optimise",IF(BA141&gt;=0,"Turn around",IF(BB141&gt;=0,"Relocate or resize",IF(AND(BF141&gt;0,BJ141&lt;='Assumptions &amp; Data'!$C$75,D141&gt;='Assumptions &amp; Data'!$C$64),"Close","Relocate or resize")))))</f>
        <v>Optimise</v>
      </c>
      <c r="BL141" s="42" t="str">
        <f aca="false">INDEX($BK$106:$BK$165,MATCH(BC141,$A$106:$A$165,0))</f>
        <v>Turn around</v>
      </c>
      <c r="BM141" s="42" t="str">
        <f aca="false">IF(RANK(P141,$P$106:$P$165)&lt;=ROUND(COUNT($P$106:$P$165)/4,0),"Q1 top",IF(RANK(P141,$P$106:$P$165)&gt;COUNT($P$106:$P$165)-ROUND(COUNT($P$106:$P$165)/4,0),"Q4 bottom","Q2-Q3 middle"))</f>
        <v>Q1 top</v>
      </c>
      <c r="BN141" s="40" t="n">
        <f aca="false">SUMIFS('Financial Analysis'!$R$71:$R$790,'Financial Analysis'!$B$71:$B$790,$A141,'Financial Analysis'!$C$71:$C$790,"&gt;="&amp;'Assumptions &amp; Data'!$C$62)/'Assumptions &amp; Data'!$C$85/100000</f>
        <v>9.398</v>
      </c>
      <c r="BO141" s="40" t="n">
        <f aca="false">SUMIFS('Financial Analysis'!$H$71:$H$790,'Financial Analysis'!$B$71:$B$790,$A141,'Financial Analysis'!$C$71:$C$790,"&gt;="&amp;'Assumptions &amp; Data'!$C$62)/SUMIFS('Financial Analysis'!$E$71:$E$790,'Financial Analysis'!$B$71:$B$790,$A141,'Financial Analysis'!$C$71:$C$790,"&gt;="&amp;'Assumptions &amp; Data'!$C$62)</f>
        <v>654.166879167125</v>
      </c>
      <c r="BP141" s="40" t="n">
        <f aca="false">(SUMIFS('Financial Analysis'!$I$71:$I$790,'Financial Analysis'!$B$71:$B$790,$A141,'Financial Analysis'!$C$71:$C$790,"&gt;="&amp;'Assumptions &amp; Data'!$C$62)+SUMIFS('Financial Analysis'!$J$71:$J$790,'Financial Analysis'!$B$71:$B$790,$A141,'Financial Analysis'!$C$71:$C$790,"&gt;="&amp;'Assumptions &amp; Data'!$C$62)+SUMIFS('Financial Analysis'!$K$71:$K$790,'Financial Analysis'!$B$71:$B$790,$A141,'Financial Analysis'!$C$71:$C$790,"&gt;="&amp;'Assumptions &amp; Data'!$C$62))/SUMIFS('Financial Analysis'!$E$71:$E$790,'Financial Analysis'!$B$71:$B$790,$A141,'Financial Analysis'!$C$71:$C$790,"&gt;="&amp;'Assumptions &amp; Data'!$C$62)</f>
        <v>144.885001190164</v>
      </c>
      <c r="BQ141" s="40" t="n">
        <f aca="false">SUMIFS('Financial Analysis'!$L$71:$L$790,'Financial Analysis'!$B$71:$B$790,$A141,'Financial Analysis'!$C$71:$C$790,"&gt;="&amp;'Assumptions &amp; Data'!$C$62)/SUMIFS('Financial Analysis'!$E$71:$E$790,'Financial Analysis'!$B$71:$B$790,$A141,'Financial Analysis'!$C$71:$C$790,"&gt;="&amp;'Assumptions &amp; Data'!$C$62)</f>
        <v>18.8443210180251</v>
      </c>
      <c r="BR141" s="40" t="n">
        <f aca="false">SUMIFS('Financial Analysis'!$L$71:$L$790,'Financial Analysis'!$B$71:$B$790,$A141,'Financial Analysis'!$C$71:$C$790,"&gt;="&amp;'Assumptions &amp; Data'!$C$62)/SUMIFS('Financial Analysis'!$E$71:$E$790,'Financial Analysis'!$B$71:$B$790,$A141,'Financial Analysis'!$C$71:$C$790,"&gt;="&amp;'Assumptions &amp; Data'!$C$62)</f>
        <v>18.8443210180251</v>
      </c>
      <c r="BS141" s="40" t="n">
        <f aca="false">SUMIFS('Financial Analysis'!$N$71:$N$790,'Financial Analysis'!$B$71:$B$790,$A141,'Financial Analysis'!$C$71:$C$790,"&gt;="&amp;'Assumptions &amp; Data'!$C$62)/SUMIFS('Financial Analysis'!$E$71:$E$790,'Financial Analysis'!$B$71:$B$790,$A141,'Financial Analysis'!$C$71:$C$790,"&gt;="&amp;'Assumptions &amp; Data'!$C$62)</f>
        <v>36.8029624497801</v>
      </c>
      <c r="BT141" s="40" t="n">
        <f aca="false">(SUMIFS('Financial Analysis'!$O$71:$O$790,'Financial Analysis'!$B$71:$B$790,$A141,'Financial Analysis'!$C$71:$C$790,"&gt;="&amp;'Assumptions &amp; Data'!$C$62)+SUMIFS('Financial Analysis'!$P$71:$P$790,'Financial Analysis'!$B$71:$B$790,$A141,'Financial Analysis'!$C$71:$C$790,"&gt;="&amp;'Assumptions &amp; Data'!$C$62))/SUMIFS('Financial Analysis'!$E$71:$E$790,'Financial Analysis'!$B$71:$B$790,$A141,'Financial Analysis'!$C$71:$C$790,"&gt;="&amp;'Assumptions &amp; Data'!$C$62)</f>
        <v>16.841001388691</v>
      </c>
      <c r="BU141" s="40" t="n">
        <f aca="false">SUMIFS('Financial Analysis'!$R$71:$R$790,'Financial Analysis'!$B$71:$B$790,$A141,'Financial Analysis'!$C$71:$C$790,"&gt;="&amp;'Assumptions &amp; Data'!$C$62)/SUMIFS('Financial Analysis'!$E$71:$E$790,'Financial Analysis'!$B$71:$B$790,$A141,'Financial Analysis'!$C$71:$C$790,"&gt;="&amp;'Assumptions &amp; Data'!$C$62)</f>
        <v>17.8380943342507</v>
      </c>
      <c r="BV141" s="40" t="n">
        <f aca="false">SUMIFS('Financial Analysis'!$S$71:$S$790,'Financial Analysis'!$B$71:$B$790,$A141,'Financial Analysis'!$C$71:$C$790,"&gt;="&amp;'Assumptions &amp; Data'!$C$62)/SUMIFS('Financial Analysis'!$E$71:$E$790,'Financial Analysis'!$B$71:$B$790,$A141,'Financial Analysis'!$C$71:$C$790,"&gt;="&amp;'Assumptions &amp; Data'!$C$62)</f>
        <v>10.8190186960235</v>
      </c>
      <c r="BW141" s="40" t="n">
        <f aca="false">(SUMIFS('Financial Analysis'!$T$71:$T$790,'Financial Analysis'!$B$71:$B$790,$A141,'Financial Analysis'!$C$71:$C$790,"&gt;="&amp;'Assumptions &amp; Data'!$C$62)+SUMIFS('Financial Analysis'!$U$71:$U$790,'Financial Analysis'!$B$71:$B$790,$A141,'Financial Analysis'!$C$71:$C$790,"&gt;="&amp;'Assumptions &amp; Data'!$C$62))/SUMIFS('Financial Analysis'!$E$71:$E$790,'Financial Analysis'!$B$71:$B$790,$A141,'Financial Analysis'!$C$71:$C$790,"&gt;="&amp;'Assumptions &amp; Data'!$C$62)</f>
        <v>7.85648033912246</v>
      </c>
      <c r="BX141" s="40" t="n">
        <f aca="false">SUMIFS('Financial Analysis'!$V$71:$V$790,'Financial Analysis'!$B$71:$B$790,$A141,'Financial Analysis'!$C$71:$C$790,"&gt;="&amp;'Assumptions &amp; Data'!$C$62)/SUMIFS('Financial Analysis'!$E$71:$E$790,'Financial Analysis'!$B$71:$B$790,$A141,'Financial Analysis'!$C$71:$C$790,"&gt;="&amp;'Assumptions &amp; Data'!$C$62)</f>
        <v>35.883122964271</v>
      </c>
      <c r="BY141" s="37" t="n">
        <f aca="false">'Assumptions &amp; Data'!J177</f>
        <v>36</v>
      </c>
      <c r="BZ141" s="39" t="str">
        <f aca="false">IF(BK141="Close",COUNTIF($BK$106:BK141,"Close"),"")</f>
        <v/>
      </c>
    </row>
    <row r="142" customFormat="false" ht="15" hidden="false" customHeight="false" outlineLevel="0" collapsed="false">
      <c r="A142" s="48" t="str">
        <f aca="false">'Assumptions &amp; Data'!A178</f>
        <v>DS037</v>
      </c>
      <c r="B142" s="48" t="str">
        <f aca="false">'Assumptions &amp; Data'!B178</f>
        <v>Bengaluru</v>
      </c>
      <c r="C142" s="48" t="str">
        <f aca="false">'Assumptions &amp; Data'!C178</f>
        <v>Dense residential</v>
      </c>
      <c r="D142" s="37" t="n">
        <f aca="false">'Assumptions &amp; Data'!D178</f>
        <v>48</v>
      </c>
      <c r="E142" s="39" t="n">
        <f aca="false">SUMIFS('Financial Analysis'!$E$71:$E$790,'Financial Analysis'!$B$71:$B$790,$A142,'Financial Analysis'!$C$71:$C$790,"&gt;="&amp;'Assumptions &amp; Data'!$C$62)/'Assumptions &amp; Data'!$C$63</f>
        <v>1140.05434782609</v>
      </c>
      <c r="F142" s="40" t="n">
        <f aca="false">SUMIFS('Financial Analysis'!$H$71:$H$790,'Financial Analysis'!$B$71:$B$790,$A142,'Financial Analysis'!$C$71:$C$790,"&gt;="&amp;'Assumptions &amp; Data'!$C$62)/'Assumptions &amp; Data'!$C$85/100000</f>
        <v>235.930695198533</v>
      </c>
      <c r="G142" s="40" t="n">
        <f aca="false">SUMIFS('Financial Analysis'!$F$71:$F$790,'Financial Analysis'!$B$71:$B$790,$A142,'Financial Analysis'!$C$71:$C$790,"&gt;="&amp;'Assumptions &amp; Data'!$C$62)/SUMIFS('Financial Analysis'!$E$71:$E$790,'Financial Analysis'!$B$71:$B$790,$A142,'Financial Analysis'!$C$71:$C$790,"&gt;="&amp;'Assumptions &amp; Data'!$C$62)</f>
        <v>724.791024455356</v>
      </c>
      <c r="H142" s="49" t="n">
        <f aca="false">SUMIFS('Financial Analysis'!$G$71:$G$790,'Financial Analysis'!$B$71:$B$790,$A142,'Financial Analysis'!$C$71:$C$790,"&gt;="&amp;'Assumptions &amp; Data'!$C$62)/SUMIFS('Financial Analysis'!$F$71:$F$790,'Financial Analysis'!$B$71:$B$790,$A142,'Financial Analysis'!$C$71:$C$790,"&gt;="&amp;'Assumptions &amp; Data'!$C$62)</f>
        <v>0.0689360466492514</v>
      </c>
      <c r="I142" s="49" t="n">
        <f aca="false">SUMIFS('Financial Analysis'!$L$71:$L$790,'Financial Analysis'!$B$71:$B$790,$A142,'Financial Analysis'!$C$71:$C$790,"&gt;="&amp;'Assumptions &amp; Data'!$C$62)/SUMIFS('Financial Analysis'!$H$71:$H$790,'Financial Analysis'!$B$71:$B$790,$A142,'Financial Analysis'!$C$71:$C$790,"&gt;="&amp;'Assumptions &amp; Data'!$C$62)</f>
        <v>0.0162562895837488</v>
      </c>
      <c r="J142" s="40" t="n">
        <f aca="false">SUMIFS('Financial Analysis'!$N$71:$N$790,'Financial Analysis'!$B$71:$B$790,$A142,'Financial Analysis'!$C$71:$C$790,"&gt;="&amp;'Assumptions &amp; Data'!$C$62)/SUMIFS('Financial Analysis'!$E$71:$E$790,'Financial Analysis'!$B$71:$B$790,$A142,'Financial Analysis'!$C$71:$C$790,"&gt;="&amp;'Assumptions &amp; Data'!$C$62)</f>
        <v>37.4059728273824</v>
      </c>
      <c r="K142" s="40" t="n">
        <f aca="false">SUMIFS('Financial Analysis'!$R$71:$R$790,'Financial Analysis'!$B$71:$B$790,$A142,'Financial Analysis'!$C$71:$C$790,"&gt;="&amp;'Assumptions &amp; Data'!$C$62)/AVERAGEIFS('Assumptions &amp; Data'!$M$205:$M$924,'Assumptions &amp; Data'!$B$205:$B$924,$A142,'Assumptions &amp; Data'!$C$205:$C$924,"&gt;="&amp;'Assumptions &amp; Data'!$C$62)/'Assumptions &amp; Data'!$C$85</f>
        <v>23.666966966967</v>
      </c>
      <c r="L142" s="40" t="n">
        <f aca="false">E142/K142</f>
        <v>48.1706992458016</v>
      </c>
      <c r="M142" s="40" t="n">
        <f aca="false">SUMIFS('Financial Analysis'!$Q$71:$Q$790,'Financial Analysis'!$B$71:$B$790,$A142,'Financial Analysis'!$C$71:$C$790,"&gt;="&amp;'Assumptions &amp; Data'!$C$62)/SUMIFS('Financial Analysis'!$E$71:$E$790,'Financial Analysis'!$B$71:$B$790,$A142,'Financial Analysis'!$C$71:$C$790,"&gt;="&amp;'Assumptions &amp; Data'!$C$62)</f>
        <v>82.3001215395688</v>
      </c>
      <c r="N142" s="40" t="n">
        <f aca="false">SUMIFS('Financial Analysis'!$Y$71:$Y$790,'Financial Analysis'!$B$71:$B$790,$A142,'Financial Analysis'!$C$71:$C$790,"&gt;="&amp;'Assumptions &amp; Data'!$C$62)/'Assumptions &amp; Data'!$C$85/100000</f>
        <v>12.5120066666667</v>
      </c>
      <c r="O142" s="40" t="n">
        <f aca="false">SUMIFS('Financial Analysis'!$V$71:$V$790,'Financial Analysis'!$B$71:$B$790,$A142,'Financial Analysis'!$C$71:$C$790,"&gt;="&amp;'Assumptions &amp; Data'!$C$62)/'Assumptions &amp; Data'!$C$85/100000</f>
        <v>16.2614874922589</v>
      </c>
      <c r="P142" s="49" t="n">
        <f aca="false">O142/F142</f>
        <v>0.0689248487933078</v>
      </c>
      <c r="Q142" s="39" t="n">
        <f aca="false">IF(M142&gt;0,N142*100000/(M142*'Assumptions &amp; Data'!$C$63/'Assumptions &amp; Data'!$C$85),9999)</f>
        <v>495.746798132179</v>
      </c>
      <c r="R142" s="49" t="n">
        <f aca="false">E142/Q142-1</f>
        <v>1.29967062242552</v>
      </c>
      <c r="S142" s="50" t="n">
        <f aca="false">'Assumptions &amp; Data'!E178</f>
        <v>28.2</v>
      </c>
      <c r="T142" s="50" t="n">
        <f aca="false">'Assumptions &amp; Data'!G178</f>
        <v>2.8</v>
      </c>
      <c r="U142" s="49" t="n">
        <f aca="false">MAX(0,('Assumptions &amp; Data'!$C$72-T142)/'Assumptions &amp; Data'!$C$72)*'Assumptions &amp; Data'!$C$73</f>
        <v>0</v>
      </c>
      <c r="V142" s="39" t="n">
        <f aca="false">S142*$B$6*(1-U142)</f>
        <v>1004.52702516861</v>
      </c>
      <c r="W142" s="49" t="n">
        <f aca="false">V142/E142-1</f>
        <v>-0.118877949034543</v>
      </c>
      <c r="X142" s="39" t="n">
        <f aca="false">IF(D142&gt;='Assumptions &amp; Data'!$C$64,1,0)</f>
        <v>1</v>
      </c>
      <c r="Y142" s="40" t="n">
        <f aca="false">IF(AND(X142=1,T142&gt;='Assumptions &amp; Data'!$C$72),E142/S142,"")</f>
        <v>40.427459142769</v>
      </c>
      <c r="Z142" s="49" t="n">
        <f aca="false">IF(X142=1,H142,"")</f>
        <v>0.0689360466492514</v>
      </c>
      <c r="AA142" s="49" t="n">
        <f aca="false">IF(X142=1,I142,"")</f>
        <v>0.0162562895837488</v>
      </c>
      <c r="AB142" s="40" t="n">
        <f aca="false">IF(X142=1,J142,"")</f>
        <v>37.4059728273824</v>
      </c>
      <c r="AC142" s="40" t="n">
        <f aca="false">IF(X142=1,L142,"")</f>
        <v>48.1706992458016</v>
      </c>
      <c r="AD142" s="40" t="n">
        <f aca="false">IF(X142=1,AP142/E142*100,"")</f>
        <v>263.145349668685</v>
      </c>
      <c r="AE142" s="40" t="n">
        <f aca="false">IF(X142=1,M142,"")</f>
        <v>82.3001215395688</v>
      </c>
      <c r="AF142" s="40" t="n">
        <f aca="false">E142*'Assumptions &amp; Data'!$C$63/'Assumptions &amp; Data'!$C$85*G142/100000</f>
        <v>253.399022</v>
      </c>
      <c r="AG142" s="49" t="n">
        <f aca="false">MAX(0,H142-$B$7)</f>
        <v>0.0141309466459946</v>
      </c>
      <c r="AH142" s="40" t="n">
        <f aca="false">AG142*AF142</f>
        <v>3.5807680600292</v>
      </c>
      <c r="AI142" s="40" t="n">
        <f aca="false">AG142*100*E142*'Assumptions &amp; Data'!$C$63/'Assumptions &amp; Data'!$C$85*M142/100000</f>
        <v>40.6596710778613</v>
      </c>
      <c r="AJ142" s="49" t="n">
        <f aca="false">MAX(0,I142-$B$8)</f>
        <v>0</v>
      </c>
      <c r="AK142" s="40" t="n">
        <f aca="false">AJ142*F142</f>
        <v>0</v>
      </c>
      <c r="AL142" s="40" t="n">
        <f aca="false">MAX(0,K142-E142/$B$10)</f>
        <v>0</v>
      </c>
      <c r="AM142" s="40" t="n">
        <f aca="false">AL142*BN142/K142</f>
        <v>0</v>
      </c>
      <c r="AN142" s="40" t="n">
        <f aca="false">MAX(0,J142-$B$9)</f>
        <v>0</v>
      </c>
      <c r="AO142" s="40" t="n">
        <f aca="false">AN142*E142*'Assumptions &amp; Data'!$C$63/'Assumptions &amp; Data'!$C$85/100000</f>
        <v>0</v>
      </c>
      <c r="AP142" s="37" t="n">
        <f aca="false">'Assumptions &amp; Data'!H178</f>
        <v>3000</v>
      </c>
      <c r="AQ142" s="39" t="n">
        <f aca="false">MIN(AP142,$B$11*E142/100)</f>
        <v>3000</v>
      </c>
      <c r="AR142" s="39" t="n">
        <f aca="false">IF(AP142-AQ142&gt;'Assumptions &amp; Data'!$C$78*AP142,AP142-AQ142,0)</f>
        <v>0</v>
      </c>
      <c r="AS142" s="50" t="n">
        <f aca="false">'Assumptions &amp; Data'!I178</f>
        <v>141</v>
      </c>
      <c r="AT142" s="40" t="n">
        <f aca="false">INDEX('Assumptions &amp; Data'!$B$89:$E$94,MATCH(B142,'Assumptions &amp; Data'!$A$89:$A$94,0),MATCH(C142,'Assumptions &amp; Data'!$B$88:$E$88,0))</f>
        <v>136</v>
      </c>
      <c r="AU142" s="39" t="n">
        <f aca="false">IF(BY142&lt;='Assumptions &amp; Data'!$C$79,1,0)</f>
        <v>0</v>
      </c>
      <c r="AV142" s="40" t="n">
        <f aca="false">AU142*(AR142*AS142+MAX(0,AS142-AT142)*(AP142-AR142))/100000</f>
        <v>0</v>
      </c>
      <c r="AW142" s="40" t="n">
        <f aca="false">'Assumptions &amp; Data'!$C$67*(AH142-'Assumptions &amp; Data'!$C$68*AI142+AK142+AM142+AO142+AV142)</f>
        <v>1.90450280955035</v>
      </c>
      <c r="AX142" s="40" t="n">
        <f aca="false">O142+AW142</f>
        <v>18.1659903018093</v>
      </c>
      <c r="AY142" s="49" t="n">
        <f aca="false">IF(D142&lt;'Assumptions &amp; Data'!$C$64,'Assumptions &amp; Data'!$C$70,'Assumptions &amp; Data'!$C$69)</f>
        <v>0.5</v>
      </c>
      <c r="AZ142" s="40" t="n">
        <f aca="false">AY142*MAX(0,V142-E142)*'Assumptions &amp; Data'!$C$63/'Assumptions &amp; Data'!$C$85*(M142-'Assumptions &amp; Data'!$C$71)/100000</f>
        <v>0</v>
      </c>
      <c r="BA142" s="40" t="n">
        <f aca="false">AX142+AZ142</f>
        <v>18.1659903018093</v>
      </c>
      <c r="BB142" s="40" t="n">
        <f aca="false">BA142+(1-'Assumptions &amp; Data'!$C$67)*AV142</f>
        <v>18.1659903018093</v>
      </c>
      <c r="BC142" s="48" t="str">
        <f aca="false">'Assumptions &amp; Data'!F178</f>
        <v>DS035</v>
      </c>
      <c r="BD142" s="39" t="n">
        <f aca="false">INDEX('Assumptions &amp; Data'!$K$142:$K$201,MATCH(BC142,'Assumptions &amp; Data'!$A$142:$A$201,0))*'Assumptions &amp; Data'!$C$77</f>
        <v>1620</v>
      </c>
      <c r="BE142" s="39" t="n">
        <f aca="false">MAX(0,BD142-INDEX($E$106:$E$165,MATCH(BC142,$A$106:$A$165,0)))</f>
        <v>570.75</v>
      </c>
      <c r="BF142" s="39" t="n">
        <f aca="false">IF(T142&lt;='Assumptions &amp; Data'!$C$74,MIN('Assumptions &amp; Data'!$C$76*E142,BE142),0)</f>
        <v>0</v>
      </c>
      <c r="BG142" s="40" t="n">
        <f aca="false">-O142+BF142*'Assumptions &amp; Data'!$C$63/'Assumptions &amp; Data'!$C$85*($B$12-'Assumptions &amp; Data'!$C$71)/100000</f>
        <v>-16.2614874922589</v>
      </c>
      <c r="BH142" s="40" t="n">
        <f aca="false">(AS142*AP142*BY142*'Assumptions &amp; Data'!$C$82+K142*(BN142*100000/K142)*'Assumptions &amp; Data'!$C$80*(1-'Assumptions &amp; Data'!$C$81)+AP142*'Assumptions &amp; Data'!$C$83)/100000</f>
        <v>84.46866</v>
      </c>
      <c r="BI142" s="40" t="n">
        <f aca="false">'Assumptions &amp; Data'!L178*MAX(0,1-D142/'Assumptions &amp; Data'!$C$84)</f>
        <v>43.7142857142857</v>
      </c>
      <c r="BJ142" s="40" t="n">
        <f aca="false">IF(BG142&gt;0,BH142/BG142,99)</f>
        <v>99</v>
      </c>
      <c r="BK142" s="2" t="str">
        <f aca="false">IF(AND(P142&gt;='Assumptions &amp; Data'!$C$65,R142&gt;=0,W142&gt;='Assumptions &amp; Data'!$C$66),"Scale",IF(OR(O142&gt;=0,AX142&gt;=0),"Optimise",IF(BA142&gt;=0,"Turn around",IF(BB142&gt;=0,"Relocate or resize",IF(AND(BF142&gt;0,BJ142&lt;='Assumptions &amp; Data'!$C$75,D142&gt;='Assumptions &amp; Data'!$C$64),"Close","Relocate or resize")))))</f>
        <v>Optimise</v>
      </c>
      <c r="BL142" s="42" t="str">
        <f aca="false">INDEX($BK$106:$BK$165,MATCH(BC142,$A$106:$A$165,0))</f>
        <v>Scale</v>
      </c>
      <c r="BM142" s="42" t="str">
        <f aca="false">IF(RANK(P142,$P$106:$P$165)&lt;=ROUND(COUNT($P$106:$P$165)/4,0),"Q1 top",IF(RANK(P142,$P$106:$P$165)&gt;COUNT($P$106:$P$165)-ROUND(COUNT($P$106:$P$165)/4,0),"Q4 bottom","Q2-Q3 middle"))</f>
        <v>Q1 top</v>
      </c>
      <c r="BN142" s="40" t="n">
        <f aca="false">SUMIFS('Financial Analysis'!$R$71:$R$790,'Financial Analysis'!$B$71:$B$790,$A142,'Financial Analysis'!$C$71:$C$790,"&gt;="&amp;'Assumptions &amp; Data'!$C$62)/'Assumptions &amp; Data'!$C$85/100000</f>
        <v>5.25406666666667</v>
      </c>
      <c r="BO142" s="40" t="n">
        <f aca="false">SUMIFS('Financial Analysis'!$H$71:$H$790,'Financial Analysis'!$B$71:$B$790,$A142,'Financial Analysis'!$C$71:$C$790,"&gt;="&amp;'Assumptions &amp; Data'!$C$62)/SUMIFS('Financial Analysis'!$E$71:$E$790,'Financial Analysis'!$B$71:$B$790,$A142,'Financial Analysis'!$C$71:$C$790,"&gt;="&amp;'Assumptions &amp; Data'!$C$62)</f>
        <v>674.826796582543</v>
      </c>
      <c r="BP142" s="40" t="n">
        <f aca="false">(SUMIFS('Financial Analysis'!$I$71:$I$790,'Financial Analysis'!$B$71:$B$790,$A142,'Financial Analysis'!$C$71:$C$790,"&gt;="&amp;'Assumptions &amp; Data'!$C$62)+SUMIFS('Financial Analysis'!$J$71:$J$790,'Financial Analysis'!$B$71:$B$790,$A142,'Financial Analysis'!$C$71:$C$790,"&gt;="&amp;'Assumptions &amp; Data'!$C$62)+SUMIFS('Financial Analysis'!$K$71:$K$790,'Financial Analysis'!$B$71:$B$790,$A142,'Financial Analysis'!$C$71:$C$790,"&gt;="&amp;'Assumptions &amp; Data'!$C$62))/SUMIFS('Financial Analysis'!$E$71:$E$790,'Financial Analysis'!$B$71:$B$790,$A142,'Financial Analysis'!$C$71:$C$790,"&gt;="&amp;'Assumptions &amp; Data'!$C$62)</f>
        <v>148.092830551406</v>
      </c>
      <c r="BQ142" s="40" t="n">
        <f aca="false">SUMIFS('Financial Analysis'!$L$71:$L$790,'Financial Analysis'!$B$71:$B$790,$A142,'Financial Analysis'!$C$71:$C$790,"&gt;="&amp;'Assumptions &amp; Data'!$C$62)/SUMIFS('Financial Analysis'!$E$71:$E$790,'Financial Analysis'!$B$71:$B$790,$A142,'Financial Analysis'!$C$71:$C$790,"&gt;="&amp;'Assumptions &amp; Data'!$C$62)</f>
        <v>10.9701798241194</v>
      </c>
      <c r="BR142" s="40" t="n">
        <f aca="false">SUMIFS('Financial Analysis'!$L$71:$L$790,'Financial Analysis'!$B$71:$B$790,$A142,'Financial Analysis'!$C$71:$C$790,"&gt;="&amp;'Assumptions &amp; Data'!$C$62)/SUMIFS('Financial Analysis'!$E$71:$E$790,'Financial Analysis'!$B$71:$B$790,$A142,'Financial Analysis'!$C$71:$C$790,"&gt;="&amp;'Assumptions &amp; Data'!$C$62)</f>
        <v>10.9701798241194</v>
      </c>
      <c r="BS142" s="40" t="n">
        <f aca="false">SUMIFS('Financial Analysis'!$N$71:$N$790,'Financial Analysis'!$B$71:$B$790,$A142,'Financial Analysis'!$C$71:$C$790,"&gt;="&amp;'Assumptions &amp; Data'!$C$62)/SUMIFS('Financial Analysis'!$E$71:$E$790,'Financial Analysis'!$B$71:$B$790,$A142,'Financial Analysis'!$C$71:$C$790,"&gt;="&amp;'Assumptions &amp; Data'!$C$62)</f>
        <v>37.4059728273824</v>
      </c>
      <c r="BT142" s="40" t="n">
        <f aca="false">(SUMIFS('Financial Analysis'!$O$71:$O$790,'Financial Analysis'!$B$71:$B$790,$A142,'Financial Analysis'!$C$71:$C$790,"&gt;="&amp;'Assumptions &amp; Data'!$C$62)+SUMIFS('Financial Analysis'!$P$71:$P$790,'Financial Analysis'!$B$71:$B$790,$A142,'Financial Analysis'!$C$71:$C$790,"&gt;="&amp;'Assumptions &amp; Data'!$C$62))/SUMIFS('Financial Analysis'!$E$71:$E$790,'Financial Analysis'!$B$71:$B$790,$A142,'Financial Analysis'!$C$71:$C$790,"&gt;="&amp;'Assumptions &amp; Data'!$C$62)</f>
        <v>17.4165563603351</v>
      </c>
      <c r="BU142" s="40" t="n">
        <f aca="false">SUMIFS('Financial Analysis'!$R$71:$R$790,'Financial Analysis'!$B$71:$B$790,$A142,'Financial Analysis'!$C$71:$C$790,"&gt;="&amp;'Assumptions &amp; Data'!$C$62)/SUMIFS('Financial Analysis'!$E$71:$E$790,'Financial Analysis'!$B$71:$B$790,$A142,'Financial Analysis'!$C$71:$C$790,"&gt;="&amp;'Assumptions &amp; Data'!$C$62)</f>
        <v>15.0280783715498</v>
      </c>
      <c r="BV142" s="40" t="n">
        <f aca="false">SUMIFS('Financial Analysis'!$S$71:$S$790,'Financial Analysis'!$B$71:$B$790,$A142,'Financial Analysis'!$C$71:$C$790,"&gt;="&amp;'Assumptions &amp; Data'!$C$62)/SUMIFS('Financial Analysis'!$E$71:$E$790,'Financial Analysis'!$B$71:$B$790,$A142,'Financial Analysis'!$C$71:$C$790,"&gt;="&amp;'Assumptions &amp; Data'!$C$62)</f>
        <v>12.0989655336797</v>
      </c>
      <c r="BW142" s="40" t="n">
        <f aca="false">(SUMIFS('Financial Analysis'!$T$71:$T$790,'Financial Analysis'!$B$71:$B$790,$A142,'Financial Analysis'!$C$71:$C$790,"&gt;="&amp;'Assumptions &amp; Data'!$C$62)+SUMIFS('Financial Analysis'!$U$71:$U$790,'Financial Analysis'!$B$71:$B$790,$A142,'Financial Analysis'!$C$71:$C$790,"&gt;="&amp;'Assumptions &amp; Data'!$C$62))/SUMIFS('Financial Analysis'!$E$71:$E$790,'Financial Analysis'!$B$71:$B$790,$A142,'Financial Analysis'!$C$71:$C$790,"&gt;="&amp;'Assumptions &amp; Data'!$C$62)</f>
        <v>8.66074271821519</v>
      </c>
      <c r="BX142" s="40" t="n">
        <f aca="false">SUMIFS('Financial Analysis'!$V$71:$V$790,'Financial Analysis'!$B$71:$B$790,$A142,'Financial Analysis'!$C$71:$C$790,"&gt;="&amp;'Assumptions &amp; Data'!$C$62)/SUMIFS('Financial Analysis'!$E$71:$E$790,'Financial Analysis'!$B$71:$B$790,$A142,'Financial Analysis'!$C$71:$C$790,"&gt;="&amp;'Assumptions &amp; Data'!$C$62)</f>
        <v>46.5123349161241</v>
      </c>
      <c r="BY142" s="37" t="n">
        <f aca="false">'Assumptions &amp; Data'!J178</f>
        <v>36</v>
      </c>
      <c r="BZ142" s="39" t="str">
        <f aca="false">IF(BK142="Close",COUNTIF($BK$106:BK142,"Close"),"")</f>
        <v/>
      </c>
    </row>
    <row r="143" customFormat="false" ht="15" hidden="false" customHeight="false" outlineLevel="0" collapsed="false">
      <c r="A143" s="48" t="str">
        <f aca="false">'Assumptions &amp; Data'!A179</f>
        <v>DS038</v>
      </c>
      <c r="B143" s="48" t="str">
        <f aca="false">'Assumptions &amp; Data'!B179</f>
        <v>Bengaluru</v>
      </c>
      <c r="C143" s="48" t="str">
        <f aca="false">'Assumptions &amp; Data'!C179</f>
        <v>Mixed use</v>
      </c>
      <c r="D143" s="37" t="n">
        <f aca="false">'Assumptions &amp; Data'!D179</f>
        <v>5</v>
      </c>
      <c r="E143" s="39" t="n">
        <f aca="false">SUMIFS('Financial Analysis'!$E$71:$E$790,'Financial Analysis'!$B$71:$B$790,$A143,'Financial Analysis'!$C$71:$C$790,"&gt;="&amp;'Assumptions &amp; Data'!$C$62)/'Assumptions &amp; Data'!$C$63</f>
        <v>362.054347826087</v>
      </c>
      <c r="F143" s="40" t="n">
        <f aca="false">SUMIFS('Financial Analysis'!$H$71:$H$790,'Financial Analysis'!$B$71:$B$790,$A143,'Financial Analysis'!$C$71:$C$790,"&gt;="&amp;'Assumptions &amp; Data'!$C$62)/'Assumptions &amp; Data'!$C$85/100000</f>
        <v>68.6271495061333</v>
      </c>
      <c r="G143" s="40" t="n">
        <f aca="false">SUMIFS('Financial Analysis'!$F$71:$F$790,'Financial Analysis'!$B$71:$B$790,$A143,'Financial Analysis'!$C$71:$C$790,"&gt;="&amp;'Assumptions &amp; Data'!$C$62)/SUMIFS('Financial Analysis'!$E$71:$E$790,'Financial Analysis'!$B$71:$B$790,$A143,'Financial Analysis'!$C$71:$C$790,"&gt;="&amp;'Assumptions &amp; Data'!$C$62)</f>
        <v>664.819784442643</v>
      </c>
      <c r="H143" s="49" t="n">
        <f aca="false">SUMIFS('Financial Analysis'!$G$71:$G$790,'Financial Analysis'!$B$71:$B$790,$A143,'Financial Analysis'!$C$71:$C$790,"&gt;="&amp;'Assumptions &amp; Data'!$C$62)/SUMIFS('Financial Analysis'!$F$71:$F$790,'Financial Analysis'!$B$71:$B$790,$A143,'Financial Analysis'!$C$71:$C$790,"&gt;="&amp;'Assumptions &amp; Data'!$C$62)</f>
        <v>0.0702810449169139</v>
      </c>
      <c r="I143" s="49" t="n">
        <f aca="false">SUMIFS('Financial Analysis'!$L$71:$L$790,'Financial Analysis'!$B$71:$B$790,$A143,'Financial Analysis'!$C$71:$C$790,"&gt;="&amp;'Assumptions &amp; Data'!$C$62)/SUMIFS('Financial Analysis'!$H$71:$H$790,'Financial Analysis'!$B$71:$B$790,$A143,'Financial Analysis'!$C$71:$C$790,"&gt;="&amp;'Assumptions &amp; Data'!$C$62)</f>
        <v>0.0301866096637044</v>
      </c>
      <c r="J143" s="40" t="n">
        <f aca="false">SUMIFS('Financial Analysis'!$N$71:$N$790,'Financial Analysis'!$B$71:$B$790,$A143,'Financial Analysis'!$C$71:$C$790,"&gt;="&amp;'Assumptions &amp; Data'!$C$62)/SUMIFS('Financial Analysis'!$E$71:$E$790,'Financial Analysis'!$B$71:$B$790,$A143,'Financial Analysis'!$C$71:$C$790,"&gt;="&amp;'Assumptions &amp; Data'!$C$62)</f>
        <v>45.4952934642289</v>
      </c>
      <c r="K143" s="40" t="n">
        <f aca="false">SUMIFS('Financial Analysis'!$R$71:$R$790,'Financial Analysis'!$B$71:$B$790,$A143,'Financial Analysis'!$C$71:$C$790,"&gt;="&amp;'Assumptions &amp; Data'!$C$62)/AVERAGEIFS('Assumptions &amp; Data'!$M$205:$M$924,'Assumptions &amp; Data'!$B$205:$B$924,$A143,'Assumptions &amp; Data'!$C$205:$C$924,"&gt;="&amp;'Assumptions &amp; Data'!$C$62)/'Assumptions &amp; Data'!$C$85</f>
        <v>16</v>
      </c>
      <c r="L143" s="40" t="n">
        <f aca="false">E143/K143</f>
        <v>22.6283967391304</v>
      </c>
      <c r="M143" s="40" t="n">
        <f aca="false">SUMIFS('Financial Analysis'!$Q$71:$Q$790,'Financial Analysis'!$B$71:$B$790,$A143,'Financial Analysis'!$C$71:$C$790,"&gt;="&amp;'Assumptions &amp; Data'!$C$62)/SUMIFS('Financial Analysis'!$E$71:$E$790,'Financial Analysis'!$B$71:$B$790,$A143,'Financial Analysis'!$C$71:$C$790,"&gt;="&amp;'Assumptions &amp; Data'!$C$62)</f>
        <v>45.7761448671172</v>
      </c>
      <c r="N143" s="40" t="n">
        <f aca="false">SUMIFS('Financial Analysis'!$Y$71:$Y$790,'Financial Analysis'!$B$71:$B$790,$A143,'Financial Analysis'!$C$71:$C$790,"&gt;="&amp;'Assumptions &amp; Data'!$C$62)/'Assumptions &amp; Data'!$C$85/100000</f>
        <v>14.55149</v>
      </c>
      <c r="O143" s="40" t="n">
        <f aca="false">SUMIFS('Financial Analysis'!$V$71:$V$790,'Financial Analysis'!$B$71:$B$790,$A143,'Financial Analysis'!$C$71:$C$790,"&gt;="&amp;'Assumptions &amp; Data'!$C$62)/'Assumptions &amp; Data'!$C$85/100000</f>
        <v>-9.46896463540397</v>
      </c>
      <c r="P143" s="49" t="n">
        <f aca="false">O143/F143</f>
        <v>-0.137976947950573</v>
      </c>
      <c r="Q143" s="39" t="n">
        <f aca="false">IF(M143&gt;0,N143*100000/(M143*'Assumptions &amp; Data'!$C$63/'Assumptions &amp; Data'!$C$85),9999)</f>
        <v>1036.5772610889</v>
      </c>
      <c r="R143" s="49" t="n">
        <f aca="false">E143/Q143-1</f>
        <v>-0.650721310010451</v>
      </c>
      <c r="S143" s="50" t="n">
        <f aca="false">'Assumptions &amp; Data'!E179</f>
        <v>31.3</v>
      </c>
      <c r="T143" s="50" t="n">
        <f aca="false">'Assumptions &amp; Data'!G179</f>
        <v>2.9</v>
      </c>
      <c r="U143" s="49" t="n">
        <f aca="false">MAX(0,('Assumptions &amp; Data'!$C$72-T143)/'Assumptions &amp; Data'!$C$72)*'Assumptions &amp; Data'!$C$73</f>
        <v>0</v>
      </c>
      <c r="V143" s="39" t="n">
        <f aca="false">S143*$B$6*(1-U143)</f>
        <v>1114.95375488573</v>
      </c>
      <c r="W143" s="49" t="n">
        <f aca="false">V143/E143-1</f>
        <v>2.07952041338637</v>
      </c>
      <c r="X143" s="39" t="n">
        <f aca="false">IF(D143&gt;='Assumptions &amp; Data'!$C$64,1,0)</f>
        <v>0</v>
      </c>
      <c r="Y143" s="40" t="str">
        <f aca="false">IF(AND(X143=1,T143&gt;='Assumptions &amp; Data'!$C$72),E143/S143,"")</f>
        <v/>
      </c>
      <c r="Z143" s="49" t="str">
        <f aca="false">IF(X143=1,H143,"")</f>
        <v/>
      </c>
      <c r="AA143" s="49" t="str">
        <f aca="false">IF(X143=1,I143,"")</f>
        <v/>
      </c>
      <c r="AB143" s="40" t="str">
        <f aca="false">IF(X143=1,J143,"")</f>
        <v/>
      </c>
      <c r="AC143" s="40" t="str">
        <f aca="false">IF(X143=1,L143,"")</f>
        <v/>
      </c>
      <c r="AD143" s="40" t="str">
        <f aca="false">IF(X143=1,AP143/E143*100,"")</f>
        <v/>
      </c>
      <c r="AE143" s="40" t="str">
        <f aca="false">IF(X143=1,M143,"")</f>
        <v/>
      </c>
      <c r="AF143" s="40" t="n">
        <f aca="false">E143*'Assumptions &amp; Data'!$C$63/'Assumptions &amp; Data'!$C$85*G143/100000</f>
        <v>73.8149406666667</v>
      </c>
      <c r="AG143" s="49" t="n">
        <f aca="false">MAX(0,H143-$B$7)</f>
        <v>0.0154759449136571</v>
      </c>
      <c r="AH143" s="40" t="n">
        <f aca="false">AG143*AF143</f>
        <v>1.1423559555622</v>
      </c>
      <c r="AI143" s="40" t="n">
        <f aca="false">AG143*100*E143*'Assumptions &amp; Data'!$C$63/'Assumptions &amp; Data'!$C$85*M143/100000</f>
        <v>7.86568825647531</v>
      </c>
      <c r="AJ143" s="49" t="n">
        <f aca="false">MAX(0,I143-$B$8)</f>
        <v>0.00878201595341734</v>
      </c>
      <c r="AK143" s="40" t="n">
        <f aca="false">AJ143*F143</f>
        <v>0.60268472180042</v>
      </c>
      <c r="AL143" s="40" t="n">
        <f aca="false">MAX(0,K143-E143/$B$10)</f>
        <v>6.51420488012847</v>
      </c>
      <c r="AM143" s="40" t="n">
        <f aca="false">AL143*BN143/K143</f>
        <v>1.44615348338852</v>
      </c>
      <c r="AN143" s="40" t="n">
        <f aca="false">MAX(0,J143-$B$9)</f>
        <v>7.28913686776813</v>
      </c>
      <c r="AO143" s="40" t="n">
        <f aca="false">AN143*E143*'Assumptions &amp; Data'!$C$63/'Assumptions &amp; Data'!$C$85/100000</f>
        <v>0.809312866428295</v>
      </c>
      <c r="AP143" s="37" t="n">
        <f aca="false">'Assumptions &amp; Data'!H179</f>
        <v>5000</v>
      </c>
      <c r="AQ143" s="39" t="n">
        <f aca="false">MIN(AP143,$B$11*E143/100)</f>
        <v>1391.14620016183</v>
      </c>
      <c r="AR143" s="39" t="n">
        <f aca="false">IF(AP143-AQ143&gt;'Assumptions &amp; Data'!$C$78*AP143,AP143-AQ143,0)</f>
        <v>3608.85379983817</v>
      </c>
      <c r="AS143" s="50" t="n">
        <f aca="false">'Assumptions &amp; Data'!I179</f>
        <v>147</v>
      </c>
      <c r="AT143" s="40" t="n">
        <f aca="false">INDEX('Assumptions &amp; Data'!$B$89:$E$94,MATCH(B143,'Assumptions &amp; Data'!$A$89:$A$94,0),MATCH(C143,'Assumptions &amp; Data'!$B$88:$E$88,0))</f>
        <v>149</v>
      </c>
      <c r="AU143" s="39" t="n">
        <f aca="false">IF(BY143&lt;='Assumptions &amp; Data'!$C$79,1,0)</f>
        <v>0</v>
      </c>
      <c r="AV143" s="40" t="n">
        <f aca="false">AU143*(AR143*AS143+MAX(0,AS143-AT143)*(AP143-AR143))/100000</f>
        <v>0</v>
      </c>
      <c r="AW143" s="40" t="n">
        <f aca="false">'Assumptions &amp; Data'!$C$67*(AH143-'Assumptions &amp; Data'!$C$68*AI143+AK143+AM143+AO143+AV143)</f>
        <v>2.35311008676881</v>
      </c>
      <c r="AX143" s="40" t="n">
        <f aca="false">O143+AW143</f>
        <v>-7.11585454863516</v>
      </c>
      <c r="AY143" s="49" t="n">
        <f aca="false">IF(D143&lt;'Assumptions &amp; Data'!$C$64,'Assumptions &amp; Data'!$C$70,'Assumptions &amp; Data'!$C$69)</f>
        <v>0.8</v>
      </c>
      <c r="AZ143" s="40" t="n">
        <f aca="false">AY143*MAX(0,V143-E143)*'Assumptions &amp; Data'!$C$63/'Assumptions &amp; Data'!$C$85*(M143-'Assumptions &amp; Data'!$C$71)/100000</f>
        <v>6.60825898579886</v>
      </c>
      <c r="BA143" s="40" t="n">
        <f aca="false">AX143+AZ143</f>
        <v>-0.507595562836306</v>
      </c>
      <c r="BB143" s="40" t="n">
        <f aca="false">BA143+(1-'Assumptions &amp; Data'!$C$67)*AV143</f>
        <v>-0.507595562836306</v>
      </c>
      <c r="BC143" s="48" t="str">
        <f aca="false">'Assumptions &amp; Data'!F179</f>
        <v>DS033</v>
      </c>
      <c r="BD143" s="39" t="n">
        <f aca="false">INDEX('Assumptions &amp; Data'!$K$142:$K$201,MATCH(BC143,'Assumptions &amp; Data'!$A$142:$A$201,0))*'Assumptions &amp; Data'!$C$77</f>
        <v>1458</v>
      </c>
      <c r="BE143" s="39" t="n">
        <f aca="false">MAX(0,BD143-INDEX($E$106:$E$165,MATCH(BC143,$A$106:$A$165,0)))</f>
        <v>534.815217391304</v>
      </c>
      <c r="BF143" s="39" t="n">
        <f aca="false">IF(T143&lt;='Assumptions &amp; Data'!$C$74,MIN('Assumptions &amp; Data'!$C$76*E143,BE143),0)</f>
        <v>0</v>
      </c>
      <c r="BG143" s="40" t="n">
        <f aca="false">-O143+BF143*'Assumptions &amp; Data'!$C$63/'Assumptions &amp; Data'!$C$85*($B$12-'Assumptions &amp; Data'!$C$71)/100000</f>
        <v>9.46896463540397</v>
      </c>
      <c r="BH143" s="40" t="n">
        <f aca="false">(AS143*AP143*BY143*'Assumptions &amp; Data'!$C$82+K143*(BN143*100000/K143)*'Assumptions &amp; Data'!$C$80*(1-'Assumptions &amp; Data'!$C$81)+AP143*'Assumptions &amp; Data'!$C$83)/100000</f>
        <v>141.4968</v>
      </c>
      <c r="BI143" s="40" t="n">
        <f aca="false">'Assumptions &amp; Data'!L179*MAX(0,1-D143/'Assumptions &amp; Data'!$C$84)</f>
        <v>159.880952380952</v>
      </c>
      <c r="BJ143" s="40" t="n">
        <f aca="false">IF(BG143&gt;0,BH143/BG143,99)</f>
        <v>14.9432177062897</v>
      </c>
      <c r="BK143" s="2" t="str">
        <f aca="false">IF(AND(P143&gt;='Assumptions &amp; Data'!$C$65,R143&gt;=0,W143&gt;='Assumptions &amp; Data'!$C$66),"Scale",IF(OR(O143&gt;=0,AX143&gt;=0),"Optimise",IF(BA143&gt;=0,"Turn around",IF(BB143&gt;=0,"Relocate or resize",IF(AND(BF143&gt;0,BJ143&lt;='Assumptions &amp; Data'!$C$75,D143&gt;='Assumptions &amp; Data'!$C$64),"Close","Relocate or resize")))))</f>
        <v>Relocate or resize</v>
      </c>
      <c r="BL143" s="42" t="str">
        <f aca="false">INDEX($BK$106:$BK$165,MATCH(BC143,$A$106:$A$165,0))</f>
        <v>Optimise</v>
      </c>
      <c r="BM143" s="42" t="str">
        <f aca="false">IF(RANK(P143,$P$106:$P$165)&lt;=ROUND(COUNT($P$106:$P$165)/4,0),"Q1 top",IF(RANK(P143,$P$106:$P$165)&gt;COUNT($P$106:$P$165)-ROUND(COUNT($P$106:$P$165)/4,0),"Q4 bottom","Q2-Q3 middle"))</f>
        <v>Q4 bottom</v>
      </c>
      <c r="BN143" s="40" t="n">
        <f aca="false">SUMIFS('Financial Analysis'!$R$71:$R$790,'Financial Analysis'!$B$71:$B$790,$A143,'Financial Analysis'!$C$71:$C$790,"&gt;="&amp;'Assumptions &amp; Data'!$C$62)/'Assumptions &amp; Data'!$C$85/100000</f>
        <v>3.552</v>
      </c>
      <c r="BO143" s="40" t="n">
        <f aca="false">SUMIFS('Financial Analysis'!$H$71:$H$790,'Financial Analysis'!$B$71:$B$790,$A143,'Financial Analysis'!$C$71:$C$790,"&gt;="&amp;'Assumptions &amp; Data'!$C$62)/SUMIFS('Financial Analysis'!$E$71:$E$790,'Financial Analysis'!$B$71:$B$790,$A143,'Financial Analysis'!$C$71:$C$790,"&gt;="&amp;'Assumptions &amp; Data'!$C$62)</f>
        <v>618.095555310577</v>
      </c>
      <c r="BP143" s="40" t="n">
        <f aca="false">(SUMIFS('Financial Analysis'!$I$71:$I$790,'Financial Analysis'!$B$71:$B$790,$A143,'Financial Analysis'!$C$71:$C$790,"&gt;="&amp;'Assumptions &amp; Data'!$C$62)+SUMIFS('Financial Analysis'!$J$71:$J$790,'Financial Analysis'!$B$71:$B$790,$A143,'Financial Analysis'!$C$71:$C$790,"&gt;="&amp;'Assumptions &amp; Data'!$C$62)+SUMIFS('Financial Analysis'!$K$71:$K$790,'Financial Analysis'!$B$71:$B$790,$A143,'Financial Analysis'!$C$71:$C$790,"&gt;="&amp;'Assumptions &amp; Data'!$C$62))/SUMIFS('Financial Analysis'!$E$71:$E$790,'Financial Analysis'!$B$71:$B$790,$A143,'Financial Analysis'!$C$71:$C$790,"&gt;="&amp;'Assumptions &amp; Data'!$C$62)</f>
        <v>126.817001936119</v>
      </c>
      <c r="BQ143" s="40" t="n">
        <f aca="false">SUMIFS('Financial Analysis'!$L$71:$L$790,'Financial Analysis'!$B$71:$B$790,$A143,'Financial Analysis'!$C$71:$C$790,"&gt;="&amp;'Assumptions &amp; Data'!$C$62)/SUMIFS('Financial Analysis'!$E$71:$E$790,'Financial Analysis'!$B$71:$B$790,$A143,'Financial Analysis'!$C$71:$C$790,"&gt;="&amp;'Assumptions &amp; Data'!$C$62)</f>
        <v>18.658209263031</v>
      </c>
      <c r="BR143" s="40" t="n">
        <f aca="false">SUMIFS('Financial Analysis'!$L$71:$L$790,'Financial Analysis'!$B$71:$B$790,$A143,'Financial Analysis'!$C$71:$C$790,"&gt;="&amp;'Assumptions &amp; Data'!$C$62)/SUMIFS('Financial Analysis'!$E$71:$E$790,'Financial Analysis'!$B$71:$B$790,$A143,'Financial Analysis'!$C$71:$C$790,"&gt;="&amp;'Assumptions &amp; Data'!$C$62)</f>
        <v>18.658209263031</v>
      </c>
      <c r="BS143" s="40" t="n">
        <f aca="false">SUMIFS('Financial Analysis'!$N$71:$N$790,'Financial Analysis'!$B$71:$B$790,$A143,'Financial Analysis'!$C$71:$C$790,"&gt;="&amp;'Assumptions &amp; Data'!$C$62)/SUMIFS('Financial Analysis'!$E$71:$E$790,'Financial Analysis'!$B$71:$B$790,$A143,'Financial Analysis'!$C$71:$C$790,"&gt;="&amp;'Assumptions &amp; Data'!$C$62)</f>
        <v>45.4952934642289</v>
      </c>
      <c r="BT143" s="40" t="n">
        <f aca="false">(SUMIFS('Financial Analysis'!$O$71:$O$790,'Financial Analysis'!$B$71:$B$790,$A143,'Financial Analysis'!$C$71:$C$790,"&gt;="&amp;'Assumptions &amp; Data'!$C$62)+SUMIFS('Financial Analysis'!$P$71:$P$790,'Financial Analysis'!$B$71:$B$790,$A143,'Financial Analysis'!$C$71:$C$790,"&gt;="&amp;'Assumptions &amp; Data'!$C$62))/SUMIFS('Financial Analysis'!$E$71:$E$790,'Financial Analysis'!$B$71:$B$790,$A143,'Financial Analysis'!$C$71:$C$790,"&gt;="&amp;'Assumptions &amp; Data'!$C$62)</f>
        <v>16.8873543417415</v>
      </c>
      <c r="BU143" s="40" t="n">
        <f aca="false">SUMIFS('Financial Analysis'!$R$71:$R$790,'Financial Analysis'!$B$71:$B$790,$A143,'Financial Analysis'!$C$71:$C$790,"&gt;="&amp;'Assumptions &amp; Data'!$C$62)/SUMIFS('Financial Analysis'!$E$71:$E$790,'Financial Analysis'!$B$71:$B$790,$A143,'Financial Analysis'!$C$71:$C$790,"&gt;="&amp;'Assumptions &amp; Data'!$C$62)</f>
        <v>31.9913536881924</v>
      </c>
      <c r="BV143" s="40" t="n">
        <f aca="false">SUMIFS('Financial Analysis'!$S$71:$S$790,'Financial Analysis'!$B$71:$B$790,$A143,'Financial Analysis'!$C$71:$C$790,"&gt;="&amp;'Assumptions &amp; Data'!$C$62)/SUMIFS('Financial Analysis'!$E$71:$E$790,'Financial Analysis'!$B$71:$B$790,$A143,'Financial Analysis'!$C$71:$C$790,"&gt;="&amp;'Assumptions &amp; Data'!$C$62)</f>
        <v>66.1983247770873</v>
      </c>
      <c r="BW143" s="40" t="n">
        <f aca="false">(SUMIFS('Financial Analysis'!$T$71:$T$790,'Financial Analysis'!$B$71:$B$790,$A143,'Financial Analysis'!$C$71:$C$790,"&gt;="&amp;'Assumptions &amp; Data'!$C$62)+SUMIFS('Financial Analysis'!$U$71:$U$790,'Financial Analysis'!$B$71:$B$790,$A143,'Financial Analysis'!$C$71:$C$790,"&gt;="&amp;'Assumptions &amp; Data'!$C$62))/SUMIFS('Financial Analysis'!$E$71:$E$790,'Financial Analysis'!$B$71:$B$790,$A143,'Financial Analysis'!$C$71:$C$790,"&gt;="&amp;'Assumptions &amp; Data'!$C$62)</f>
        <v>32.8694046654057</v>
      </c>
      <c r="BX143" s="40" t="n">
        <f aca="false">SUMIFS('Financial Analysis'!$V$71:$V$790,'Financial Analysis'!$B$71:$B$790,$A143,'Financial Analysis'!$C$71:$C$790,"&gt;="&amp;'Assumptions &amp; Data'!$C$62)/SUMIFS('Financial Analysis'!$E$71:$E$790,'Financial Analysis'!$B$71:$B$790,$A143,'Financial Analysis'!$C$71:$C$790,"&gt;="&amp;'Assumptions &amp; Data'!$C$62)</f>
        <v>-85.2829382635682</v>
      </c>
      <c r="BY143" s="37" t="n">
        <f aca="false">'Assumptions &amp; Data'!J179</f>
        <v>36</v>
      </c>
      <c r="BZ143" s="39" t="str">
        <f aca="false">IF(BK143="Close",COUNTIF($BK$106:BK143,"Close"),"")</f>
        <v/>
      </c>
    </row>
    <row r="144" customFormat="false" ht="15" hidden="false" customHeight="false" outlineLevel="0" collapsed="false">
      <c r="A144" s="48" t="str">
        <f aca="false">'Assumptions &amp; Data'!A180</f>
        <v>DS039</v>
      </c>
      <c r="B144" s="48" t="str">
        <f aca="false">'Assumptions &amp; Data'!B180</f>
        <v>Hyderabad</v>
      </c>
      <c r="C144" s="48" t="str">
        <f aca="false">'Assumptions &amp; Data'!C180</f>
        <v>Dense residential</v>
      </c>
      <c r="D144" s="37" t="n">
        <f aca="false">'Assumptions &amp; Data'!D180</f>
        <v>48</v>
      </c>
      <c r="E144" s="39" t="n">
        <f aca="false">SUMIFS('Financial Analysis'!$E$71:$E$790,'Financial Analysis'!$B$71:$B$790,$A144,'Financial Analysis'!$C$71:$C$790,"&gt;="&amp;'Assumptions &amp; Data'!$C$62)/'Assumptions &amp; Data'!$C$63</f>
        <v>1249.10869565217</v>
      </c>
      <c r="F144" s="40" t="n">
        <f aca="false">SUMIFS('Financial Analysis'!$H$71:$H$790,'Financial Analysis'!$B$71:$B$790,$A144,'Financial Analysis'!$C$71:$C$790,"&gt;="&amp;'Assumptions &amp; Data'!$C$62)/'Assumptions &amp; Data'!$C$85/100000</f>
        <v>231.976393537633</v>
      </c>
      <c r="G144" s="40" t="n">
        <f aca="false">SUMIFS('Financial Analysis'!$F$71:$F$790,'Financial Analysis'!$B$71:$B$790,$A144,'Financial Analysis'!$C$71:$C$790,"&gt;="&amp;'Assumptions &amp; Data'!$C$62)/SUMIFS('Financial Analysis'!$E$71:$E$790,'Financial Analysis'!$B$71:$B$790,$A144,'Financial Analysis'!$C$71:$C$790,"&gt;="&amp;'Assumptions &amp; Data'!$C$62)</f>
        <v>639.220569449521</v>
      </c>
      <c r="H144" s="49" t="n">
        <f aca="false">SUMIFS('Financial Analysis'!$G$71:$G$790,'Financial Analysis'!$B$71:$B$790,$A144,'Financial Analysis'!$C$71:$C$790,"&gt;="&amp;'Assumptions &amp; Data'!$C$62)/SUMIFS('Financial Analysis'!$F$71:$F$790,'Financial Analysis'!$B$71:$B$790,$A144,'Financial Analysis'!$C$71:$C$790,"&gt;="&amp;'Assumptions &amp; Data'!$C$62)</f>
        <v>0.0526155626488261</v>
      </c>
      <c r="I144" s="49" t="n">
        <f aca="false">SUMIFS('Financial Analysis'!$L$71:$L$790,'Financial Analysis'!$B$71:$B$790,$A144,'Financial Analysis'!$C$71:$C$790,"&gt;="&amp;'Assumptions &amp; Data'!$C$62)/SUMIFS('Financial Analysis'!$H$71:$H$790,'Financial Analysis'!$B$71:$B$790,$A144,'Financial Analysis'!$C$71:$C$790,"&gt;="&amp;'Assumptions &amp; Data'!$C$62)</f>
        <v>0.0376668573829189</v>
      </c>
      <c r="J144" s="40" t="n">
        <f aca="false">SUMIFS('Financial Analysis'!$N$71:$N$790,'Financial Analysis'!$B$71:$B$790,$A144,'Financial Analysis'!$C$71:$C$790,"&gt;="&amp;'Assumptions &amp; Data'!$C$62)/SUMIFS('Financial Analysis'!$E$71:$E$790,'Financial Analysis'!$B$71:$B$790,$A144,'Financial Analysis'!$C$71:$C$790,"&gt;="&amp;'Assumptions &amp; Data'!$C$62)</f>
        <v>34.2599028872762</v>
      </c>
      <c r="K144" s="40" t="n">
        <f aca="false">SUMIFS('Financial Analysis'!$R$71:$R$790,'Financial Analysis'!$B$71:$B$790,$A144,'Financial Analysis'!$C$71:$C$790,"&gt;="&amp;'Assumptions &amp; Data'!$C$62)/AVERAGEIFS('Assumptions &amp; Data'!$M$205:$M$924,'Assumptions &amp; Data'!$B$205:$B$924,$A144,'Assumptions &amp; Data'!$C$205:$C$924,"&gt;="&amp;'Assumptions &amp; Data'!$C$62)/'Assumptions &amp; Data'!$C$85</f>
        <v>36.3336326060442</v>
      </c>
      <c r="L144" s="40" t="n">
        <f aca="false">E144/K144</f>
        <v>34.3788552385038</v>
      </c>
      <c r="M144" s="40" t="n">
        <f aca="false">SUMIFS('Financial Analysis'!$Q$71:$Q$790,'Financial Analysis'!$B$71:$B$790,$A144,'Financial Analysis'!$C$71:$C$790,"&gt;="&amp;'Assumptions &amp; Data'!$C$62)/SUMIFS('Financial Analysis'!$E$71:$E$790,'Financial Analysis'!$B$71:$B$790,$A144,'Financial Analysis'!$C$71:$C$790,"&gt;="&amp;'Assumptions &amp; Data'!$C$62)</f>
        <v>59.089085648415</v>
      </c>
      <c r="N144" s="40" t="n">
        <f aca="false">SUMIFS('Financial Analysis'!$Y$71:$Y$790,'Financial Analysis'!$B$71:$B$790,$A144,'Financial Analysis'!$C$71:$C$790,"&gt;="&amp;'Assumptions &amp; Data'!$C$62)/'Assumptions &amp; Data'!$C$85/100000</f>
        <v>15.3164766666667</v>
      </c>
      <c r="O144" s="40" t="n">
        <f aca="false">SUMIFS('Financial Analysis'!$V$71:$V$790,'Financial Analysis'!$B$71:$B$790,$A144,'Financial Analysis'!$C$71:$C$790,"&gt;="&amp;'Assumptions &amp; Data'!$C$62)/'Assumptions &amp; Data'!$C$85/100000</f>
        <v>7.31818848181519</v>
      </c>
      <c r="P144" s="49" t="n">
        <f aca="false">O144/F144</f>
        <v>0.0315471258528207</v>
      </c>
      <c r="Q144" s="39" t="n">
        <f aca="false">IF(M144&gt;0,N144*100000/(M144*'Assumptions &amp; Data'!$C$63/'Assumptions &amp; Data'!$C$85),9999)</f>
        <v>845.249711695875</v>
      </c>
      <c r="R144" s="49" t="n">
        <f aca="false">E144/Q144-1</f>
        <v>0.477798428521215</v>
      </c>
      <c r="S144" s="50" t="n">
        <f aca="false">'Assumptions &amp; Data'!E180</f>
        <v>33.2</v>
      </c>
      <c r="T144" s="50" t="n">
        <f aca="false">'Assumptions &amp; Data'!G180</f>
        <v>3.1</v>
      </c>
      <c r="U144" s="49" t="n">
        <f aca="false">MAX(0,('Assumptions &amp; Data'!$C$72-T144)/'Assumptions &amp; Data'!$C$72)*'Assumptions &amp; Data'!$C$73</f>
        <v>0</v>
      </c>
      <c r="V144" s="39" t="n">
        <f aca="false">S144*$B$6*(1-U144)</f>
        <v>1182.6346537446</v>
      </c>
      <c r="W144" s="49" t="n">
        <f aca="false">V144/E144-1</f>
        <v>-0.0532171796889651</v>
      </c>
      <c r="X144" s="39" t="n">
        <f aca="false">IF(D144&gt;='Assumptions &amp; Data'!$C$64,1,0)</f>
        <v>1</v>
      </c>
      <c r="Y144" s="40" t="n">
        <f aca="false">IF(AND(X144=1,T144&gt;='Assumptions &amp; Data'!$C$72),E144/S144,"")</f>
        <v>37.6237558931378</v>
      </c>
      <c r="Z144" s="49" t="n">
        <f aca="false">IF(X144=1,H144,"")</f>
        <v>0.0526155626488261</v>
      </c>
      <c r="AA144" s="49" t="n">
        <f aca="false">IF(X144=1,I144,"")</f>
        <v>0.0376668573829189</v>
      </c>
      <c r="AB144" s="40" t="n">
        <f aca="false">IF(X144=1,J144,"")</f>
        <v>34.2599028872762</v>
      </c>
      <c r="AC144" s="40" t="n">
        <f aca="false">IF(X144=1,L144,"")</f>
        <v>34.3788552385038</v>
      </c>
      <c r="AD144" s="40" t="n">
        <f aca="false">IF(X144=1,AP144/E144*100,"")</f>
        <v>400.285420908822</v>
      </c>
      <c r="AE144" s="40" t="n">
        <f aca="false">IF(X144=1,M144,"")</f>
        <v>59.089085648415</v>
      </c>
      <c r="AF144" s="40" t="n">
        <f aca="false">E144*'Assumptions &amp; Data'!$C$63/'Assumptions &amp; Data'!$C$85*G144/100000</f>
        <v>244.859831333333</v>
      </c>
      <c r="AG144" s="49" t="n">
        <f aca="false">MAX(0,H144-$B$7)</f>
        <v>0</v>
      </c>
      <c r="AH144" s="40" t="n">
        <f aca="false">AG144*AF144</f>
        <v>0</v>
      </c>
      <c r="AI144" s="40" t="n">
        <f aca="false">AG144*100*E144*'Assumptions &amp; Data'!$C$63/'Assumptions &amp; Data'!$C$85*M144/100000</f>
        <v>0</v>
      </c>
      <c r="AJ144" s="49" t="n">
        <f aca="false">MAX(0,I144-$B$8)</f>
        <v>0.0162622636726318</v>
      </c>
      <c r="AK144" s="40" t="n">
        <f aca="false">AJ144*F144</f>
        <v>3.77246127753519</v>
      </c>
      <c r="AL144" s="40" t="n">
        <f aca="false">MAX(0,K144-E144/$B$10)</f>
        <v>3.60708411808608</v>
      </c>
      <c r="AM144" s="40" t="n">
        <f aca="false">AL144*BN144/K144</f>
        <v>0.709777965529524</v>
      </c>
      <c r="AN144" s="40" t="n">
        <f aca="false">MAX(0,J144-$B$9)</f>
        <v>0</v>
      </c>
      <c r="AO144" s="40" t="n">
        <f aca="false">AN144*E144*'Assumptions &amp; Data'!$C$63/'Assumptions &amp; Data'!$C$85/100000</f>
        <v>0</v>
      </c>
      <c r="AP144" s="37" t="n">
        <f aca="false">'Assumptions &amp; Data'!H180</f>
        <v>5000</v>
      </c>
      <c r="AQ144" s="39" t="n">
        <f aca="false">MIN(AP144,$B$11*E144/100)</f>
        <v>4799.53583206334</v>
      </c>
      <c r="AR144" s="39" t="n">
        <f aca="false">IF(AP144-AQ144&gt;'Assumptions &amp; Data'!$C$78*AP144,AP144-AQ144,0)</f>
        <v>0</v>
      </c>
      <c r="AS144" s="50" t="n">
        <f aca="false">'Assumptions &amp; Data'!I180</f>
        <v>95</v>
      </c>
      <c r="AT144" s="40" t="n">
        <f aca="false">INDEX('Assumptions &amp; Data'!$B$89:$E$94,MATCH(B144,'Assumptions &amp; Data'!$A$89:$A$94,0),MATCH(C144,'Assumptions &amp; Data'!$B$88:$E$88,0))</f>
        <v>104</v>
      </c>
      <c r="AU144" s="39" t="n">
        <f aca="false">IF(BY144&lt;='Assumptions &amp; Data'!$C$79,1,0)</f>
        <v>1</v>
      </c>
      <c r="AV144" s="40" t="n">
        <f aca="false">AU144*(AR144*AS144+MAX(0,AS144-AT144)*(AP144-AR144))/100000</f>
        <v>0</v>
      </c>
      <c r="AW144" s="40" t="n">
        <f aca="false">'Assumptions &amp; Data'!$C$67*(AH144-'Assumptions &amp; Data'!$C$68*AI144+AK144+AM144+AO144+AV144)</f>
        <v>2.68934354583883</v>
      </c>
      <c r="AX144" s="40" t="n">
        <f aca="false">O144+AW144</f>
        <v>10.007532027654</v>
      </c>
      <c r="AY144" s="49" t="n">
        <f aca="false">IF(D144&lt;'Assumptions &amp; Data'!$C$64,'Assumptions &amp; Data'!$C$70,'Assumptions &amp; Data'!$C$69)</f>
        <v>0.5</v>
      </c>
      <c r="AZ144" s="40" t="n">
        <f aca="false">AY144*MAX(0,V144-E144)*'Assumptions &amp; Data'!$C$63/'Assumptions &amp; Data'!$C$85*(M144-'Assumptions &amp; Data'!$C$71)/100000</f>
        <v>0</v>
      </c>
      <c r="BA144" s="40" t="n">
        <f aca="false">AX144+AZ144</f>
        <v>10.007532027654</v>
      </c>
      <c r="BB144" s="40" t="n">
        <f aca="false">BA144+(1-'Assumptions &amp; Data'!$C$67)*AV144</f>
        <v>10.007532027654</v>
      </c>
      <c r="BC144" s="48" t="str">
        <f aca="false">'Assumptions &amp; Data'!F180</f>
        <v>DS044</v>
      </c>
      <c r="BD144" s="39" t="n">
        <f aca="false">INDEX('Assumptions &amp; Data'!$K$142:$K$201,MATCH(BC144,'Assumptions &amp; Data'!$A$142:$A$201,0))*'Assumptions &amp; Data'!$C$77</f>
        <v>1134</v>
      </c>
      <c r="BE144" s="39" t="n">
        <f aca="false">MAX(0,BD144-INDEX($E$106:$E$165,MATCH(BC144,$A$106:$A$165,0)))</f>
        <v>579.760869565217</v>
      </c>
      <c r="BF144" s="39" t="n">
        <f aca="false">IF(T144&lt;='Assumptions &amp; Data'!$C$74,MIN('Assumptions &amp; Data'!$C$76*E144,BE144),0)</f>
        <v>0</v>
      </c>
      <c r="BG144" s="40" t="n">
        <f aca="false">-O144+BF144*'Assumptions &amp; Data'!$C$63/'Assumptions &amp; Data'!$C$85*($B$12-'Assumptions &amp; Data'!$C$71)/100000</f>
        <v>-7.31818848181519</v>
      </c>
      <c r="BH144" s="40" t="n">
        <f aca="false">(AS144*AP144*BY144*'Assumptions &amp; Data'!$C$82+K144*(BN144*100000/K144)*'Assumptions &amp; Data'!$C$80*(1-'Assumptions &amp; Data'!$C$81)+AP144*'Assumptions &amp; Data'!$C$83)/100000</f>
        <v>19.559541</v>
      </c>
      <c r="BI144" s="40" t="n">
        <f aca="false">'Assumptions &amp; Data'!L180*MAX(0,1-D144/'Assumptions &amp; Data'!$C$84)</f>
        <v>72.8571428571429</v>
      </c>
      <c r="BJ144" s="40" t="n">
        <f aca="false">IF(BG144&gt;0,BH144/BG144,99)</f>
        <v>99</v>
      </c>
      <c r="BK144" s="2" t="str">
        <f aca="false">IF(AND(P144&gt;='Assumptions &amp; Data'!$C$65,R144&gt;=0,W144&gt;='Assumptions &amp; Data'!$C$66),"Scale",IF(OR(O144&gt;=0,AX144&gt;=0),"Optimise",IF(BA144&gt;=0,"Turn around",IF(BB144&gt;=0,"Relocate or resize",IF(AND(BF144&gt;0,BJ144&lt;='Assumptions &amp; Data'!$C$75,D144&gt;='Assumptions &amp; Data'!$C$64),"Close","Relocate or resize")))))</f>
        <v>Optimise</v>
      </c>
      <c r="BL144" s="42" t="str">
        <f aca="false">INDEX($BK$106:$BK$165,MATCH(BC144,$A$106:$A$165,0))</f>
        <v>Turn around</v>
      </c>
      <c r="BM144" s="42" t="str">
        <f aca="false">IF(RANK(P144,$P$106:$P$165)&lt;=ROUND(COUNT($P$106:$P$165)/4,0),"Q1 top",IF(RANK(P144,$P$106:$P$165)&gt;COUNT($P$106:$P$165)-ROUND(COUNT($P$106:$P$165)/4,0),"Q4 bottom","Q2-Q3 middle"))</f>
        <v>Q2-Q3 middle</v>
      </c>
      <c r="BN144" s="40" t="n">
        <f aca="false">SUMIFS('Financial Analysis'!$R$71:$R$790,'Financial Analysis'!$B$71:$B$790,$A144,'Financial Analysis'!$C$71:$C$790,"&gt;="&amp;'Assumptions &amp; Data'!$C$62)/'Assumptions &amp; Data'!$C$85/100000</f>
        <v>7.14949</v>
      </c>
      <c r="BO144" s="40" t="n">
        <f aca="false">SUMIFS('Financial Analysis'!$H$71:$H$790,'Financial Analysis'!$B$71:$B$790,$A144,'Financial Analysis'!$C$71:$C$790,"&gt;="&amp;'Assumptions &amp; Data'!$C$62)/SUMIFS('Financial Analysis'!$E$71:$E$790,'Financial Analysis'!$B$71:$B$790,$A144,'Financial Analysis'!$C$71:$C$790,"&gt;="&amp;'Assumptions &amp; Data'!$C$62)</f>
        <v>605.587619531231</v>
      </c>
      <c r="BP144" s="40" t="n">
        <f aca="false">(SUMIFS('Financial Analysis'!$I$71:$I$790,'Financial Analysis'!$B$71:$B$790,$A144,'Financial Analysis'!$C$71:$C$790,"&gt;="&amp;'Assumptions &amp; Data'!$C$62)+SUMIFS('Financial Analysis'!$J$71:$J$790,'Financial Analysis'!$B$71:$B$790,$A144,'Financial Analysis'!$C$71:$C$790,"&gt;="&amp;'Assumptions &amp; Data'!$C$62)+SUMIFS('Financial Analysis'!$K$71:$K$790,'Financial Analysis'!$B$71:$B$790,$A144,'Financial Analysis'!$C$71:$C$790,"&gt;="&amp;'Assumptions &amp; Data'!$C$62))/SUMIFS('Financial Analysis'!$E$71:$E$790,'Financial Analysis'!$B$71:$B$790,$A144,'Financial Analysis'!$C$71:$C$790,"&gt;="&amp;'Assumptions &amp; Data'!$C$62)</f>
        <v>132.162636752106</v>
      </c>
      <c r="BQ144" s="40" t="n">
        <f aca="false">SUMIFS('Financial Analysis'!$L$71:$L$790,'Financial Analysis'!$B$71:$B$790,$A144,'Financial Analysis'!$C$71:$C$790,"&gt;="&amp;'Assumptions &amp; Data'!$C$62)/SUMIFS('Financial Analysis'!$E$71:$E$790,'Financial Analysis'!$B$71:$B$790,$A144,'Financial Analysis'!$C$71:$C$790,"&gt;="&amp;'Assumptions &amp; Data'!$C$62)</f>
        <v>22.8105824977442</v>
      </c>
      <c r="BR144" s="40" t="n">
        <f aca="false">SUMIFS('Financial Analysis'!$L$71:$L$790,'Financial Analysis'!$B$71:$B$790,$A144,'Financial Analysis'!$C$71:$C$790,"&gt;="&amp;'Assumptions &amp; Data'!$C$62)/SUMIFS('Financial Analysis'!$E$71:$E$790,'Financial Analysis'!$B$71:$B$790,$A144,'Financial Analysis'!$C$71:$C$790,"&gt;="&amp;'Assumptions &amp; Data'!$C$62)</f>
        <v>22.8105824977442</v>
      </c>
      <c r="BS144" s="40" t="n">
        <f aca="false">SUMIFS('Financial Analysis'!$N$71:$N$790,'Financial Analysis'!$B$71:$B$790,$A144,'Financial Analysis'!$C$71:$C$790,"&gt;="&amp;'Assumptions &amp; Data'!$C$62)/SUMIFS('Financial Analysis'!$E$71:$E$790,'Financial Analysis'!$B$71:$B$790,$A144,'Financial Analysis'!$C$71:$C$790,"&gt;="&amp;'Assumptions &amp; Data'!$C$62)</f>
        <v>34.2599028872762</v>
      </c>
      <c r="BT144" s="40" t="n">
        <f aca="false">(SUMIFS('Financial Analysis'!$O$71:$O$790,'Financial Analysis'!$B$71:$B$790,$A144,'Financial Analysis'!$C$71:$C$790,"&gt;="&amp;'Assumptions &amp; Data'!$C$62)+SUMIFS('Financial Analysis'!$P$71:$P$790,'Financial Analysis'!$B$71:$B$790,$A144,'Financial Analysis'!$C$71:$C$790,"&gt;="&amp;'Assumptions &amp; Data'!$C$62))/SUMIFS('Financial Analysis'!$E$71:$E$790,'Financial Analysis'!$B$71:$B$790,$A144,'Financial Analysis'!$C$71:$C$790,"&gt;="&amp;'Assumptions &amp; Data'!$C$62)</f>
        <v>16.0030657186702</v>
      </c>
      <c r="BU144" s="40" t="n">
        <f aca="false">SUMIFS('Financial Analysis'!$R$71:$R$790,'Financial Analysis'!$B$71:$B$790,$A144,'Financial Analysis'!$C$71:$C$790,"&gt;="&amp;'Assumptions &amp; Data'!$C$62)/SUMIFS('Financial Analysis'!$E$71:$E$790,'Financial Analysis'!$B$71:$B$790,$A144,'Financial Analysis'!$C$71:$C$790,"&gt;="&amp;'Assumptions &amp; Data'!$C$62)</f>
        <v>18.6641518300005</v>
      </c>
      <c r="BV144" s="40" t="n">
        <f aca="false">SUMIFS('Financial Analysis'!$S$71:$S$790,'Financial Analysis'!$B$71:$B$790,$A144,'Financial Analysis'!$C$71:$C$790,"&gt;="&amp;'Assumptions &amp; Data'!$C$62)/SUMIFS('Financial Analysis'!$E$71:$E$790,'Financial Analysis'!$B$71:$B$790,$A144,'Financial Analysis'!$C$71:$C$790,"&gt;="&amp;'Assumptions &amp; Data'!$C$62)</f>
        <v>12.4001461911972</v>
      </c>
      <c r="BW144" s="40" t="n">
        <f aca="false">(SUMIFS('Financial Analysis'!$T$71:$T$790,'Financial Analysis'!$B$71:$B$790,$A144,'Financial Analysis'!$C$71:$C$790,"&gt;="&amp;'Assumptions &amp; Data'!$C$62)+SUMIFS('Financial Analysis'!$U$71:$U$790,'Financial Analysis'!$B$71:$B$790,$A144,'Financial Analysis'!$C$71:$C$790,"&gt;="&amp;'Assumptions &amp; Data'!$C$62))/SUMIFS('Financial Analysis'!$E$71:$E$790,'Financial Analysis'!$B$71:$B$790,$A144,'Financial Analysis'!$C$71:$C$790,"&gt;="&amp;'Assumptions &amp; Data'!$C$62)</f>
        <v>8.92023877895543</v>
      </c>
      <c r="BX144" s="40" t="n">
        <f aca="false">SUMIFS('Financial Analysis'!$V$71:$V$790,'Financial Analysis'!$B$71:$B$790,$A144,'Financial Analysis'!$C$71:$C$790,"&gt;="&amp;'Assumptions &amp; Data'!$C$62)/SUMIFS('Financial Analysis'!$E$71:$E$790,'Financial Analysis'!$B$71:$B$790,$A144,'Financial Analysis'!$C$71:$C$790,"&gt;="&amp;'Assumptions &amp; Data'!$C$62)</f>
        <v>19.1045488482619</v>
      </c>
      <c r="BY144" s="37" t="n">
        <f aca="false">'Assumptions &amp; Data'!J180</f>
        <v>3</v>
      </c>
      <c r="BZ144" s="39" t="str">
        <f aca="false">IF(BK144="Close",COUNTIF($BK$106:BK144,"Close"),"")</f>
        <v/>
      </c>
    </row>
    <row r="145" customFormat="false" ht="15" hidden="false" customHeight="false" outlineLevel="0" collapsed="false">
      <c r="A145" s="48" t="str">
        <f aca="false">'Assumptions &amp; Data'!A181</f>
        <v>DS040</v>
      </c>
      <c r="B145" s="48" t="str">
        <f aca="false">'Assumptions &amp; Data'!B181</f>
        <v>Hyderabad</v>
      </c>
      <c r="C145" s="48" t="str">
        <f aca="false">'Assumptions &amp; Data'!C181</f>
        <v>Peripheral / emerging</v>
      </c>
      <c r="D145" s="37" t="n">
        <f aca="false">'Assumptions &amp; Data'!D181</f>
        <v>11</v>
      </c>
      <c r="E145" s="39" t="n">
        <f aca="false">SUMIFS('Financial Analysis'!$E$71:$E$790,'Financial Analysis'!$B$71:$B$790,$A145,'Financial Analysis'!$C$71:$C$790,"&gt;="&amp;'Assumptions &amp; Data'!$C$62)/'Assumptions &amp; Data'!$C$63</f>
        <v>650.565217391304</v>
      </c>
      <c r="F145" s="40" t="n">
        <f aca="false">SUMIFS('Financial Analysis'!$H$71:$H$790,'Financial Analysis'!$B$71:$B$790,$A145,'Financial Analysis'!$C$71:$C$790,"&gt;="&amp;'Assumptions &amp; Data'!$C$62)/'Assumptions &amp; Data'!$C$85/100000</f>
        <v>114.5355442356</v>
      </c>
      <c r="G145" s="40" t="n">
        <f aca="false">SUMIFS('Financial Analysis'!$F$71:$F$790,'Financial Analysis'!$B$71:$B$790,$A145,'Financial Analysis'!$C$71:$C$790,"&gt;="&amp;'Assumptions &amp; Data'!$C$62)/SUMIFS('Financial Analysis'!$E$71:$E$790,'Financial Analysis'!$B$71:$B$790,$A145,'Financial Analysis'!$C$71:$C$790,"&gt;="&amp;'Assumptions &amp; Data'!$C$62)</f>
        <v>626.268950076856</v>
      </c>
      <c r="H145" s="49" t="n">
        <f aca="false">SUMIFS('Financial Analysis'!$G$71:$G$790,'Financial Analysis'!$B$71:$B$790,$A145,'Financial Analysis'!$C$71:$C$790,"&gt;="&amp;'Assumptions &amp; Data'!$C$62)/SUMIFS('Financial Analysis'!$F$71:$F$790,'Financial Analysis'!$B$71:$B$790,$A145,'Financial Analysis'!$C$71:$C$790,"&gt;="&amp;'Assumptions &amp; Data'!$C$62)</f>
        <v>0.0833110611741675</v>
      </c>
      <c r="I145" s="49" t="n">
        <f aca="false">SUMIFS('Financial Analysis'!$L$71:$L$790,'Financial Analysis'!$B$71:$B$790,$A145,'Financial Analysis'!$C$71:$C$790,"&gt;="&amp;'Assumptions &amp; Data'!$C$62)/SUMIFS('Financial Analysis'!$H$71:$H$790,'Financial Analysis'!$B$71:$B$790,$A145,'Financial Analysis'!$C$71:$C$790,"&gt;="&amp;'Assumptions &amp; Data'!$C$62)</f>
        <v>0.0300426523607927</v>
      </c>
      <c r="J145" s="40" t="n">
        <f aca="false">SUMIFS('Financial Analysis'!$N$71:$N$790,'Financial Analysis'!$B$71:$B$790,$A145,'Financial Analysis'!$C$71:$C$790,"&gt;="&amp;'Assumptions &amp; Data'!$C$62)/SUMIFS('Financial Analysis'!$E$71:$E$790,'Financial Analysis'!$B$71:$B$790,$A145,'Financial Analysis'!$C$71:$C$790,"&gt;="&amp;'Assumptions &amp; Data'!$C$62)</f>
        <v>38.5255714094767</v>
      </c>
      <c r="K145" s="40" t="n">
        <f aca="false">SUMIFS('Financial Analysis'!$R$71:$R$790,'Financial Analysis'!$B$71:$B$790,$A145,'Financial Analysis'!$C$71:$C$790,"&gt;="&amp;'Assumptions &amp; Data'!$C$62)/AVERAGEIFS('Assumptions &amp; Data'!$M$205:$M$924,'Assumptions &amp; Data'!$B$205:$B$924,$A145,'Assumptions &amp; Data'!$C$205:$C$924,"&gt;="&amp;'Assumptions &amp; Data'!$C$62)/'Assumptions &amp; Data'!$C$85</f>
        <v>16.6672652120884</v>
      </c>
      <c r="L145" s="40" t="n">
        <f aca="false">E145/K145</f>
        <v>39.0325112796228</v>
      </c>
      <c r="M145" s="40" t="n">
        <f aca="false">SUMIFS('Financial Analysis'!$Q$71:$Q$790,'Financial Analysis'!$B$71:$B$790,$A145,'Financial Analysis'!$C$71:$C$790,"&gt;="&amp;'Assumptions &amp; Data'!$C$62)/SUMIFS('Financial Analysis'!$E$71:$E$790,'Financial Analysis'!$B$71:$B$790,$A145,'Financial Analysis'!$C$71:$C$790,"&gt;="&amp;'Assumptions &amp; Data'!$C$62)</f>
        <v>47.4406861344313</v>
      </c>
      <c r="N145" s="40" t="n">
        <f aca="false">SUMIFS('Financial Analysis'!$Y$71:$Y$790,'Financial Analysis'!$B$71:$B$790,$A145,'Financial Analysis'!$C$71:$C$790,"&gt;="&amp;'Assumptions &amp; Data'!$C$62)/'Assumptions &amp; Data'!$C$85/100000</f>
        <v>10.0956533333333</v>
      </c>
      <c r="O145" s="40" t="n">
        <f aca="false">SUMIFS('Financial Analysis'!$V$71:$V$790,'Financial Analysis'!$B$71:$B$790,$A145,'Financial Analysis'!$C$71:$C$790,"&gt;="&amp;'Assumptions &amp; Data'!$C$62)/'Assumptions &amp; Data'!$C$85/100000</f>
        <v>-0.630920178273398</v>
      </c>
      <c r="P145" s="49" t="n">
        <f aca="false">O145/F145</f>
        <v>-0.00550850989082999</v>
      </c>
      <c r="Q145" s="39" t="n">
        <f aca="false">IF(M145&gt;0,N145*100000/(M145*'Assumptions &amp; Data'!$C$63/'Assumptions &amp; Data'!$C$85),9999)</f>
        <v>693.931968065681</v>
      </c>
      <c r="R145" s="49" t="n">
        <f aca="false">E145/Q145-1</f>
        <v>-0.0624942395942077</v>
      </c>
      <c r="S145" s="50" t="n">
        <f aca="false">'Assumptions &amp; Data'!E181</f>
        <v>42.2</v>
      </c>
      <c r="T145" s="50" t="n">
        <f aca="false">'Assumptions &amp; Data'!G181</f>
        <v>3.6</v>
      </c>
      <c r="U145" s="49" t="n">
        <f aca="false">MAX(0,('Assumptions &amp; Data'!$C$72-T145)/'Assumptions &amp; Data'!$C$72)*'Assumptions &amp; Data'!$C$73</f>
        <v>0</v>
      </c>
      <c r="V145" s="39" t="n">
        <f aca="false">S145*$B$6*(1-U145)</f>
        <v>1503.22838518139</v>
      </c>
      <c r="W145" s="49" t="n">
        <f aca="false">V145/E145-1</f>
        <v>1.31064979343528</v>
      </c>
      <c r="X145" s="39" t="n">
        <f aca="false">IF(D145&gt;='Assumptions &amp; Data'!$C$64,1,0)</f>
        <v>0</v>
      </c>
      <c r="Y145" s="40" t="str">
        <f aca="false">IF(AND(X145=1,T145&gt;='Assumptions &amp; Data'!$C$72),E145/S145,"")</f>
        <v/>
      </c>
      <c r="Z145" s="49" t="str">
        <f aca="false">IF(X145=1,H145,"")</f>
        <v/>
      </c>
      <c r="AA145" s="49" t="str">
        <f aca="false">IF(X145=1,I145,"")</f>
        <v/>
      </c>
      <c r="AB145" s="40" t="str">
        <f aca="false">IF(X145=1,J145,"")</f>
        <v/>
      </c>
      <c r="AC145" s="40" t="str">
        <f aca="false">IF(X145=1,L145,"")</f>
        <v/>
      </c>
      <c r="AD145" s="40" t="str">
        <f aca="false">IF(X145=1,AP145/E145*100,"")</f>
        <v/>
      </c>
      <c r="AE145" s="40" t="str">
        <f aca="false">IF(X145=1,M145,"")</f>
        <v/>
      </c>
      <c r="AF145" s="40" t="n">
        <f aca="false">E145*'Assumptions &amp; Data'!$C$63/'Assumptions &amp; Data'!$C$85*G145/100000</f>
        <v>124.944830666667</v>
      </c>
      <c r="AG145" s="49" t="n">
        <f aca="false">MAX(0,H145-$B$7)</f>
        <v>0.0285059611709107</v>
      </c>
      <c r="AH145" s="40" t="n">
        <f aca="false">AG145*AF145</f>
        <v>3.56167249149001</v>
      </c>
      <c r="AI145" s="40" t="n">
        <f aca="false">AG145*100*E145*'Assumptions &amp; Data'!$C$63/'Assumptions &amp; Data'!$C$85*M145/100000</f>
        <v>26.980131581117</v>
      </c>
      <c r="AJ145" s="49" t="n">
        <f aca="false">MAX(0,I145-$B$8)</f>
        <v>0.00863805865050555</v>
      </c>
      <c r="AK145" s="40" t="n">
        <f aca="false">AJ145*F145</f>
        <v>0.989364748674686</v>
      </c>
      <c r="AL145" s="40" t="n">
        <f aca="false">MAX(0,K145-E145/$B$10)</f>
        <v>0</v>
      </c>
      <c r="AM145" s="40" t="n">
        <f aca="false">AL145*BN145/K145</f>
        <v>0</v>
      </c>
      <c r="AN145" s="40" t="n">
        <f aca="false">MAX(0,J145-$B$9)</f>
        <v>0.319414813015953</v>
      </c>
      <c r="AO145" s="40" t="n">
        <f aca="false">AN145*E145*'Assumptions &amp; Data'!$C$63/'Assumptions &amp; Data'!$C$85/100000</f>
        <v>0.0637253846287695</v>
      </c>
      <c r="AP145" s="37" t="n">
        <f aca="false">'Assumptions &amp; Data'!H181</f>
        <v>4000</v>
      </c>
      <c r="AQ145" s="39" t="n">
        <f aca="false">MIN(AP145,$B$11*E145/100)</f>
        <v>2499.71126038266</v>
      </c>
      <c r="AR145" s="39" t="n">
        <f aca="false">IF(AP145-AQ145&gt;'Assumptions &amp; Data'!$C$78*AP145,AP145-AQ145,0)</f>
        <v>1500.28873961734</v>
      </c>
      <c r="AS145" s="50" t="n">
        <f aca="false">'Assumptions &amp; Data'!I181</f>
        <v>85</v>
      </c>
      <c r="AT145" s="40" t="n">
        <f aca="false">INDEX('Assumptions &amp; Data'!$B$89:$E$94,MATCH(B145,'Assumptions &amp; Data'!$A$89:$A$94,0),MATCH(C145,'Assumptions &amp; Data'!$B$88:$E$88,0))</f>
        <v>73</v>
      </c>
      <c r="AU145" s="39" t="n">
        <f aca="false">IF(BY145&lt;='Assumptions &amp; Data'!$C$79,1,0)</f>
        <v>1</v>
      </c>
      <c r="AV145" s="40" t="n">
        <f aca="false">AU145*(AR145*AS145+MAX(0,AS145-AT145)*(AP145-AR145))/100000</f>
        <v>1.57521077992066</v>
      </c>
      <c r="AW145" s="40" t="n">
        <f aca="false">'Assumptions &amp; Data'!$C$67*(AH145-'Assumptions &amp; Data'!$C$68*AI145+AK145+AM145+AO145+AV145)</f>
        <v>3.55210325334177</v>
      </c>
      <c r="AX145" s="40" t="n">
        <f aca="false">O145+AW145</f>
        <v>2.92118307506838</v>
      </c>
      <c r="AY145" s="49" t="n">
        <f aca="false">IF(D145&lt;'Assumptions &amp; Data'!$C$64,'Assumptions &amp; Data'!$C$70,'Assumptions &amp; Data'!$C$69)</f>
        <v>0.8</v>
      </c>
      <c r="AZ145" s="40" t="n">
        <f aca="false">AY145*MAX(0,V145-E145)*'Assumptions &amp; Data'!$C$63/'Assumptions &amp; Data'!$C$85*(M145-'Assumptions &amp; Data'!$C$71)/100000</f>
        <v>7.83209347203444</v>
      </c>
      <c r="BA145" s="40" t="n">
        <f aca="false">AX145+AZ145</f>
        <v>10.7532765471028</v>
      </c>
      <c r="BB145" s="40" t="n">
        <f aca="false">BA145+(1-'Assumptions &amp; Data'!$C$67)*AV145</f>
        <v>11.3833608590711</v>
      </c>
      <c r="BC145" s="48" t="str">
        <f aca="false">'Assumptions &amp; Data'!F181</f>
        <v>DS043</v>
      </c>
      <c r="BD145" s="39" t="n">
        <f aca="false">INDEX('Assumptions &amp; Data'!$K$142:$K$201,MATCH(BC145,'Assumptions &amp; Data'!$A$142:$A$201,0))*'Assumptions &amp; Data'!$C$77</f>
        <v>1458</v>
      </c>
      <c r="BE145" s="39" t="n">
        <f aca="false">MAX(0,BD145-INDEX($E$106:$E$165,MATCH(BC145,$A$106:$A$165,0)))</f>
        <v>907.945652173913</v>
      </c>
      <c r="BF145" s="39" t="n">
        <f aca="false">IF(T145&lt;='Assumptions &amp; Data'!$C$74,MIN('Assumptions &amp; Data'!$C$76*E145,BE145),0)</f>
        <v>0</v>
      </c>
      <c r="BG145" s="40" t="n">
        <f aca="false">-O145+BF145*'Assumptions &amp; Data'!$C$63/'Assumptions &amp; Data'!$C$85*($B$12-'Assumptions &amp; Data'!$C$71)/100000</f>
        <v>0.630920178273398</v>
      </c>
      <c r="BH145" s="40" t="n">
        <f aca="false">(AS145*AP145*BY145*'Assumptions &amp; Data'!$C$82+K145*(BN145*100000/K145)*'Assumptions &amp; Data'!$C$80*(1-'Assumptions &amp; Data'!$C$81)+AP145*'Assumptions &amp; Data'!$C$83)/100000</f>
        <v>17.951706</v>
      </c>
      <c r="BI145" s="40" t="n">
        <f aca="false">'Assumptions &amp; Data'!L181*MAX(0,1-D145/'Assumptions &amp; Data'!$C$84)</f>
        <v>118.190476190476</v>
      </c>
      <c r="BJ145" s="40" t="n">
        <f aca="false">IF(BG145&gt;0,BH145/BG145,99)</f>
        <v>28.4532126538216</v>
      </c>
      <c r="BK145" s="2" t="str">
        <f aca="false">IF(AND(P145&gt;='Assumptions &amp; Data'!$C$65,R145&gt;=0,W145&gt;='Assumptions &amp; Data'!$C$66),"Scale",IF(OR(O145&gt;=0,AX145&gt;=0),"Optimise",IF(BA145&gt;=0,"Turn around",IF(BB145&gt;=0,"Relocate or resize",IF(AND(BF145&gt;0,BJ145&lt;='Assumptions &amp; Data'!$C$75,D145&gt;='Assumptions &amp; Data'!$C$64),"Close","Relocate or resize")))))</f>
        <v>Optimise</v>
      </c>
      <c r="BL145" s="42" t="str">
        <f aca="false">INDEX($BK$106:$BK$165,MATCH(BC145,$A$106:$A$165,0))</f>
        <v>Turn around</v>
      </c>
      <c r="BM145" s="42" t="str">
        <f aca="false">IF(RANK(P145,$P$106:$P$165)&lt;=ROUND(COUNT($P$106:$P$165)/4,0),"Q1 top",IF(RANK(P145,$P$106:$P$165)&gt;COUNT($P$106:$P$165)-ROUND(COUNT($P$106:$P$165)/4,0),"Q4 bottom","Q2-Q3 middle"))</f>
        <v>Q2-Q3 middle</v>
      </c>
      <c r="BN145" s="40" t="n">
        <f aca="false">SUMIFS('Financial Analysis'!$R$71:$R$790,'Financial Analysis'!$B$71:$B$790,$A145,'Financial Analysis'!$C$71:$C$790,"&gt;="&amp;'Assumptions &amp; Data'!$C$62)/'Assumptions &amp; Data'!$C$85/100000</f>
        <v>3.27967333333333</v>
      </c>
      <c r="BO145" s="40" t="n">
        <f aca="false">SUMIFS('Financial Analysis'!$H$71:$H$790,'Financial Analysis'!$B$71:$B$790,$A145,'Financial Analysis'!$C$71:$C$790,"&gt;="&amp;'Assumptions &amp; Data'!$C$62)/SUMIFS('Financial Analysis'!$E$71:$E$790,'Financial Analysis'!$B$71:$B$790,$A145,'Financial Analysis'!$C$71:$C$790,"&gt;="&amp;'Assumptions &amp; Data'!$C$62)</f>
        <v>574.093819265522</v>
      </c>
      <c r="BP145" s="40" t="n">
        <f aca="false">(SUMIFS('Financial Analysis'!$I$71:$I$790,'Financial Analysis'!$B$71:$B$790,$A145,'Financial Analysis'!$C$71:$C$790,"&gt;="&amp;'Assumptions &amp; Data'!$C$62)+SUMIFS('Financial Analysis'!$J$71:$J$790,'Financial Analysis'!$B$71:$B$790,$A145,'Financial Analysis'!$C$71:$C$790,"&gt;="&amp;'Assumptions &amp; Data'!$C$62)+SUMIFS('Financial Analysis'!$K$71:$K$790,'Financial Analysis'!$B$71:$B$790,$A145,'Financial Analysis'!$C$71:$C$790,"&gt;="&amp;'Assumptions &amp; Data'!$C$62))/SUMIFS('Financial Analysis'!$E$71:$E$790,'Financial Analysis'!$B$71:$B$790,$A145,'Financial Analysis'!$C$71:$C$790,"&gt;="&amp;'Assumptions &amp; Data'!$C$62)</f>
        <v>118.738427254627</v>
      </c>
      <c r="BQ145" s="40" t="n">
        <f aca="false">SUMIFS('Financial Analysis'!$L$71:$L$790,'Financial Analysis'!$B$71:$B$790,$A145,'Financial Analysis'!$C$71:$C$790,"&gt;="&amp;'Assumptions &amp; Data'!$C$62)/SUMIFS('Financial Analysis'!$E$71:$E$790,'Financial Analysis'!$B$71:$B$790,$A145,'Financial Analysis'!$C$71:$C$790,"&gt;="&amp;'Assumptions &amp; Data'!$C$62)</f>
        <v>17.2473010346738</v>
      </c>
      <c r="BR145" s="40" t="n">
        <f aca="false">SUMIFS('Financial Analysis'!$L$71:$L$790,'Financial Analysis'!$B$71:$B$790,$A145,'Financial Analysis'!$C$71:$C$790,"&gt;="&amp;'Assumptions &amp; Data'!$C$62)/SUMIFS('Financial Analysis'!$E$71:$E$790,'Financial Analysis'!$B$71:$B$790,$A145,'Financial Analysis'!$C$71:$C$790,"&gt;="&amp;'Assumptions &amp; Data'!$C$62)</f>
        <v>17.2473010346738</v>
      </c>
      <c r="BS145" s="40" t="n">
        <f aca="false">SUMIFS('Financial Analysis'!$N$71:$N$790,'Financial Analysis'!$B$71:$B$790,$A145,'Financial Analysis'!$C$71:$C$790,"&gt;="&amp;'Assumptions &amp; Data'!$C$62)/SUMIFS('Financial Analysis'!$E$71:$E$790,'Financial Analysis'!$B$71:$B$790,$A145,'Financial Analysis'!$C$71:$C$790,"&gt;="&amp;'Assumptions &amp; Data'!$C$62)</f>
        <v>38.5255714094767</v>
      </c>
      <c r="BT145" s="40" t="n">
        <f aca="false">(SUMIFS('Financial Analysis'!$O$71:$O$790,'Financial Analysis'!$B$71:$B$790,$A145,'Financial Analysis'!$C$71:$C$790,"&gt;="&amp;'Assumptions &amp; Data'!$C$62)+SUMIFS('Financial Analysis'!$P$71:$P$790,'Financial Analysis'!$B$71:$B$790,$A145,'Financial Analysis'!$C$71:$C$790,"&gt;="&amp;'Assumptions &amp; Data'!$C$62))/SUMIFS('Financial Analysis'!$E$71:$E$790,'Financial Analysis'!$B$71:$B$790,$A145,'Financial Analysis'!$C$71:$C$790,"&gt;="&amp;'Assumptions &amp; Data'!$C$62)</f>
        <v>15.5248686760454</v>
      </c>
      <c r="BU145" s="40" t="n">
        <f aca="false">SUMIFS('Financial Analysis'!$R$71:$R$790,'Financial Analysis'!$B$71:$B$790,$A145,'Financial Analysis'!$C$71:$C$790,"&gt;="&amp;'Assumptions &amp; Data'!$C$62)/SUMIFS('Financial Analysis'!$E$71:$E$790,'Financial Analysis'!$B$71:$B$790,$A145,'Financial Analysis'!$C$71:$C$790,"&gt;="&amp;'Assumptions &amp; Data'!$C$62)</f>
        <v>16.4389159927822</v>
      </c>
      <c r="BV145" s="40" t="n">
        <f aca="false">SUMIFS('Financial Analysis'!$S$71:$S$790,'Financial Analysis'!$B$71:$B$790,$A145,'Financial Analysis'!$C$71:$C$790,"&gt;="&amp;'Assumptions &amp; Data'!$C$62)/SUMIFS('Financial Analysis'!$E$71:$E$790,'Financial Analysis'!$B$71:$B$790,$A145,'Financial Analysis'!$C$71:$C$790,"&gt;="&amp;'Assumptions &amp; Data'!$C$62)</f>
        <v>17.0420370246608</v>
      </c>
      <c r="BW145" s="40" t="n">
        <f aca="false">(SUMIFS('Financial Analysis'!$T$71:$T$790,'Financial Analysis'!$B$71:$B$790,$A145,'Financial Analysis'!$C$71:$C$790,"&gt;="&amp;'Assumptions &amp; Data'!$C$62)+SUMIFS('Financial Analysis'!$U$71:$U$790,'Financial Analysis'!$B$71:$B$790,$A145,'Financial Analysis'!$C$71:$C$790,"&gt;="&amp;'Assumptions &amp; Data'!$C$62))/SUMIFS('Financial Analysis'!$E$71:$E$790,'Financial Analysis'!$B$71:$B$790,$A145,'Financial Analysis'!$C$71:$C$790,"&gt;="&amp;'Assumptions &amp; Data'!$C$62)</f>
        <v>17.1221345986767</v>
      </c>
      <c r="BX145" s="40" t="n">
        <f aca="false">SUMIFS('Financial Analysis'!$V$71:$V$790,'Financial Analysis'!$B$71:$B$790,$A145,'Financial Analysis'!$C$71:$C$790,"&gt;="&amp;'Assumptions &amp; Data'!$C$62)/SUMIFS('Financial Analysis'!$E$71:$E$790,'Financial Analysis'!$B$71:$B$790,$A145,'Financial Analysis'!$C$71:$C$790,"&gt;="&amp;'Assumptions &amp; Data'!$C$62)</f>
        <v>-3.16240148168849</v>
      </c>
      <c r="BY145" s="37" t="n">
        <f aca="false">'Assumptions &amp; Data'!J181</f>
        <v>6</v>
      </c>
      <c r="BZ145" s="39" t="str">
        <f aca="false">IF(BK145="Close",COUNTIF($BK$106:BK145,"Close"),"")</f>
        <v/>
      </c>
    </row>
    <row r="146" customFormat="false" ht="15" hidden="false" customHeight="false" outlineLevel="0" collapsed="false">
      <c r="A146" s="48" t="str">
        <f aca="false">'Assumptions &amp; Data'!A182</f>
        <v>DS041</v>
      </c>
      <c r="B146" s="48" t="str">
        <f aca="false">'Assumptions &amp; Data'!B182</f>
        <v>Hyderabad</v>
      </c>
      <c r="C146" s="48" t="str">
        <f aca="false">'Assumptions &amp; Data'!C182</f>
        <v>Commercial / office</v>
      </c>
      <c r="D146" s="37" t="n">
        <f aca="false">'Assumptions &amp; Data'!D182</f>
        <v>4</v>
      </c>
      <c r="E146" s="39" t="n">
        <f aca="false">SUMIFS('Financial Analysis'!$E$71:$E$790,'Financial Analysis'!$B$71:$B$790,$A146,'Financial Analysis'!$C$71:$C$790,"&gt;="&amp;'Assumptions &amp; Data'!$C$62)/'Assumptions &amp; Data'!$C$63</f>
        <v>145.619565217391</v>
      </c>
      <c r="F146" s="40" t="n">
        <f aca="false">SUMIFS('Financial Analysis'!$H$71:$H$790,'Financial Analysis'!$B$71:$B$790,$A146,'Financial Analysis'!$C$71:$C$790,"&gt;="&amp;'Assumptions &amp; Data'!$C$62)/'Assumptions &amp; Data'!$C$85/100000</f>
        <v>24.0375903079333</v>
      </c>
      <c r="G146" s="40" t="n">
        <f aca="false">SUMIFS('Financial Analysis'!$F$71:$F$790,'Financial Analysis'!$B$71:$B$790,$A146,'Financial Analysis'!$C$71:$C$790,"&gt;="&amp;'Assumptions &amp; Data'!$C$62)/SUMIFS('Financial Analysis'!$E$71:$E$790,'Financial Analysis'!$B$71:$B$790,$A146,'Financial Analysis'!$C$71:$C$790,"&gt;="&amp;'Assumptions &amp; Data'!$C$62)</f>
        <v>585.902373665746</v>
      </c>
      <c r="H146" s="49" t="n">
        <f aca="false">SUMIFS('Financial Analysis'!$G$71:$G$790,'Financial Analysis'!$B$71:$B$790,$A146,'Financial Analysis'!$C$71:$C$790,"&gt;="&amp;'Assumptions &amp; Data'!$C$62)/SUMIFS('Financial Analysis'!$F$71:$F$790,'Financial Analysis'!$B$71:$B$790,$A146,'Financial Analysis'!$C$71:$C$790,"&gt;="&amp;'Assumptions &amp; Data'!$C$62)</f>
        <v>0.0812880429716962</v>
      </c>
      <c r="I146" s="49" t="n">
        <f aca="false">SUMIFS('Financial Analysis'!$L$71:$L$790,'Financial Analysis'!$B$71:$B$790,$A146,'Financial Analysis'!$C$71:$C$790,"&gt;="&amp;'Assumptions &amp; Data'!$C$62)/SUMIFS('Financial Analysis'!$H$71:$H$790,'Financial Analysis'!$B$71:$B$790,$A146,'Financial Analysis'!$C$71:$C$790,"&gt;="&amp;'Assumptions &amp; Data'!$C$62)</f>
        <v>0.0376454819485007</v>
      </c>
      <c r="J146" s="40" t="n">
        <f aca="false">SUMIFS('Financial Analysis'!$N$71:$N$790,'Financial Analysis'!$B$71:$B$790,$A146,'Financial Analysis'!$C$71:$C$790,"&gt;="&amp;'Assumptions &amp; Data'!$C$62)/SUMIFS('Financial Analysis'!$E$71:$E$790,'Financial Analysis'!$B$71:$B$790,$A146,'Financial Analysis'!$C$71:$C$790,"&gt;="&amp;'Assumptions &amp; Data'!$C$62)</f>
        <v>42.2301224154662</v>
      </c>
      <c r="K146" s="40" t="n">
        <f aca="false">SUMIFS('Financial Analysis'!$R$71:$R$790,'Financial Analysis'!$B$71:$B$790,$A146,'Financial Analysis'!$C$71:$C$790,"&gt;="&amp;'Assumptions &amp; Data'!$C$62)/AVERAGEIFS('Assumptions &amp; Data'!$M$205:$M$924,'Assumptions &amp; Data'!$B$205:$B$924,$A146,'Assumptions &amp; Data'!$C$205:$C$924,"&gt;="&amp;'Assumptions &amp; Data'!$C$62)/'Assumptions &amp; Data'!$C$85</f>
        <v>16</v>
      </c>
      <c r="L146" s="40" t="n">
        <f aca="false">E146/K146</f>
        <v>9.10122282608696</v>
      </c>
      <c r="M146" s="40" t="n">
        <f aca="false">SUMIFS('Financial Analysis'!$Q$71:$Q$790,'Financial Analysis'!$B$71:$B$790,$A146,'Financial Analysis'!$C$71:$C$790,"&gt;="&amp;'Assumptions &amp; Data'!$C$62)/SUMIFS('Financial Analysis'!$E$71:$E$790,'Financial Analysis'!$B$71:$B$790,$A146,'Financial Analysis'!$C$71:$C$790,"&gt;="&amp;'Assumptions &amp; Data'!$C$62)</f>
        <v>35.9787054821863</v>
      </c>
      <c r="N146" s="40" t="n">
        <f aca="false">SUMIFS('Financial Analysis'!$Y$71:$Y$790,'Financial Analysis'!$B$71:$B$790,$A146,'Financial Analysis'!$C$71:$C$790,"&gt;="&amp;'Assumptions &amp; Data'!$C$62)/'Assumptions &amp; Data'!$C$85/100000</f>
        <v>12.06643</v>
      </c>
      <c r="O146" s="40" t="n">
        <f aca="false">SUMIFS('Financial Analysis'!$V$71:$V$790,'Financial Analysis'!$B$71:$B$790,$A146,'Financial Analysis'!$C$71:$C$790,"&gt;="&amp;'Assumptions &amp; Data'!$C$62)/'Assumptions &amp; Data'!$C$85/100000</f>
        <v>-10.4597409421838</v>
      </c>
      <c r="P146" s="49" t="n">
        <f aca="false">O146/F146</f>
        <v>-0.435140994092561</v>
      </c>
      <c r="Q146" s="39" t="n">
        <f aca="false">IF(M146&gt;0,N146*100000/(M146*'Assumptions &amp; Data'!$C$63/'Assumptions &amp; Data'!$C$85),9999)</f>
        <v>1093.62062421361</v>
      </c>
      <c r="R146" s="49" t="n">
        <f aca="false">E146/Q146-1</f>
        <v>-0.866846361532271</v>
      </c>
      <c r="S146" s="50" t="n">
        <f aca="false">'Assumptions &amp; Data'!E182</f>
        <v>20.2</v>
      </c>
      <c r="T146" s="50" t="n">
        <f aca="false">'Assumptions &amp; Data'!G182</f>
        <v>1.3</v>
      </c>
      <c r="U146" s="49" t="n">
        <f aca="false">MAX(0,('Assumptions &amp; Data'!$C$72-T146)/'Assumptions &amp; Data'!$C$72)*'Assumptions &amp; Data'!$C$73</f>
        <v>0.0666666666666667</v>
      </c>
      <c r="V146" s="39" t="n">
        <f aca="false">S146*$B$6*(1-U146)</f>
        <v>671.58449815055</v>
      </c>
      <c r="W146" s="49" t="n">
        <f aca="false">V146/E146-1</f>
        <v>3.6119111614429</v>
      </c>
      <c r="X146" s="39" t="n">
        <f aca="false">IF(D146&gt;='Assumptions &amp; Data'!$C$64,1,0)</f>
        <v>0</v>
      </c>
      <c r="Y146" s="40" t="str">
        <f aca="false">IF(AND(X146=1,T146&gt;='Assumptions &amp; Data'!$C$72),E146/S146,"")</f>
        <v/>
      </c>
      <c r="Z146" s="49" t="str">
        <f aca="false">IF(X146=1,H146,"")</f>
        <v/>
      </c>
      <c r="AA146" s="49" t="str">
        <f aca="false">IF(X146=1,I146,"")</f>
        <v/>
      </c>
      <c r="AB146" s="40" t="str">
        <f aca="false">IF(X146=1,J146,"")</f>
        <v/>
      </c>
      <c r="AC146" s="40" t="str">
        <f aca="false">IF(X146=1,L146,"")</f>
        <v/>
      </c>
      <c r="AD146" s="40" t="str">
        <f aca="false">IF(X146=1,AP146/E146*100,"")</f>
        <v/>
      </c>
      <c r="AE146" s="40" t="str">
        <f aca="false">IF(X146=1,M146,"")</f>
        <v/>
      </c>
      <c r="AF146" s="40" t="n">
        <f aca="false">E146*'Assumptions &amp; Data'!$C$63/'Assumptions &amp; Data'!$C$85*G146/100000</f>
        <v>26.164447</v>
      </c>
      <c r="AG146" s="49" t="n">
        <f aca="false">MAX(0,H146-$B$7)</f>
        <v>0.0264829429684394</v>
      </c>
      <c r="AH146" s="40" t="n">
        <f aca="false">AG146*AF146</f>
        <v>0.692911557701755</v>
      </c>
      <c r="AI146" s="40" t="n">
        <f aca="false">AG146*100*E146*'Assumptions &amp; Data'!$C$63/'Assumptions &amp; Data'!$C$85*M146/100000</f>
        <v>4.25498546861611</v>
      </c>
      <c r="AJ146" s="49" t="n">
        <f aca="false">MAX(0,I146-$B$8)</f>
        <v>0.0162408882382136</v>
      </c>
      <c r="AK146" s="40" t="n">
        <f aca="false">AJ146*F146</f>
        <v>0.390391817707112</v>
      </c>
      <c r="AL146" s="40" t="n">
        <f aca="false">MAX(0,K146-E146/$B$10)</f>
        <v>12.184778972022</v>
      </c>
      <c r="AM146" s="40" t="n">
        <f aca="false">AL146*BN146/K146</f>
        <v>2.39763957425468</v>
      </c>
      <c r="AN146" s="40" t="n">
        <f aca="false">MAX(0,J146-$B$9)</f>
        <v>4.02396581900539</v>
      </c>
      <c r="AO146" s="40" t="n">
        <f aca="false">AN146*E146*'Assumptions &amp; Data'!$C$63/'Assumptions &amp; Data'!$C$85/100000</f>
        <v>0.179696900257384</v>
      </c>
      <c r="AP146" s="37" t="n">
        <f aca="false">'Assumptions &amp; Data'!H182</f>
        <v>5000</v>
      </c>
      <c r="AQ146" s="39" t="n">
        <f aca="false">MIN(AP146,$B$11*E146/100)</f>
        <v>559.524021842988</v>
      </c>
      <c r="AR146" s="39" t="n">
        <f aca="false">IF(AP146-AQ146&gt;'Assumptions &amp; Data'!$C$78*AP146,AP146-AQ146,0)</f>
        <v>4440.47597815701</v>
      </c>
      <c r="AS146" s="50" t="n">
        <f aca="false">'Assumptions &amp; Data'!I182</f>
        <v>127</v>
      </c>
      <c r="AT146" s="40" t="n">
        <f aca="false">INDEX('Assumptions &amp; Data'!$B$89:$E$94,MATCH(B146,'Assumptions &amp; Data'!$A$89:$A$94,0),MATCH(C146,'Assumptions &amp; Data'!$B$88:$E$88,0))</f>
        <v>130</v>
      </c>
      <c r="AU146" s="39" t="n">
        <f aca="false">IF(BY146&lt;='Assumptions &amp; Data'!$C$79,1,0)</f>
        <v>0</v>
      </c>
      <c r="AV146" s="40" t="n">
        <f aca="false">AU146*(AR146*AS146+MAX(0,AS146-AT146)*(AP146-AR146))/100000</f>
        <v>0</v>
      </c>
      <c r="AW146" s="40" t="n">
        <f aca="false">'Assumptions &amp; Data'!$C$67*(AH146-'Assumptions &amp; Data'!$C$68*AI146+AK146+AM146+AO146+AV146)</f>
        <v>2.17085399714086</v>
      </c>
      <c r="AX146" s="40" t="n">
        <f aca="false">O146+AW146</f>
        <v>-8.28888694504297</v>
      </c>
      <c r="AY146" s="49" t="n">
        <f aca="false">IF(D146&lt;'Assumptions &amp; Data'!$C$64,'Assumptions &amp; Data'!$C$70,'Assumptions &amp; Data'!$C$69)</f>
        <v>0.8</v>
      </c>
      <c r="AZ146" s="40" t="n">
        <f aca="false">AY146*MAX(0,V146-E146)*'Assumptions &amp; Data'!$C$63/'Assumptions &amp; Data'!$C$85*(M146-'Assumptions &amp; Data'!$C$71)/100000</f>
        <v>3.35220721058617</v>
      </c>
      <c r="BA146" s="40" t="n">
        <f aca="false">AX146+AZ146</f>
        <v>-4.9366797344568</v>
      </c>
      <c r="BB146" s="40" t="n">
        <f aca="false">BA146+(1-'Assumptions &amp; Data'!$C$67)*AV146</f>
        <v>-4.9366797344568</v>
      </c>
      <c r="BC146" s="48" t="str">
        <f aca="false">'Assumptions &amp; Data'!F182</f>
        <v>DS042</v>
      </c>
      <c r="BD146" s="39" t="n">
        <f aca="false">INDEX('Assumptions &amp; Data'!$K$142:$K$201,MATCH(BC146,'Assumptions &amp; Data'!$A$142:$A$201,0))*'Assumptions &amp; Data'!$C$77</f>
        <v>1458</v>
      </c>
      <c r="BE146" s="39" t="n">
        <f aca="false">MAX(0,BD146-INDEX($E$106:$E$165,MATCH(BC146,$A$106:$A$165,0)))</f>
        <v>169.760869565218</v>
      </c>
      <c r="BF146" s="39" t="n">
        <f aca="false">IF(T146&lt;='Assumptions &amp; Data'!$C$74,MIN('Assumptions &amp; Data'!$C$76*E146,BE146),0)</f>
        <v>87.3717391304348</v>
      </c>
      <c r="BG146" s="40" t="n">
        <f aca="false">-O146+BF146*'Assumptions &amp; Data'!$C$63/'Assumptions &amp; Data'!$C$85*($B$12-'Assumptions &amp; Data'!$C$71)/100000</f>
        <v>11.9263650072815</v>
      </c>
      <c r="BH146" s="40" t="n">
        <f aca="false">(AS146*AP146*BY146*'Assumptions &amp; Data'!$C$82+K146*(BN146*100000/K146)*'Assumptions &amp; Data'!$C$80*(1-'Assumptions &amp; Data'!$C$81)+AP146*'Assumptions &amp; Data'!$C$83)/100000</f>
        <v>65.983536</v>
      </c>
      <c r="BI146" s="40" t="n">
        <f aca="false">'Assumptions &amp; Data'!L182*MAX(0,1-D146/'Assumptions &amp; Data'!$C$84)</f>
        <v>161.904761904762</v>
      </c>
      <c r="BJ146" s="40" t="n">
        <f aca="false">IF(BG146&gt;0,BH146/BG146,99)</f>
        <v>5.53257727394008</v>
      </c>
      <c r="BK146" s="2" t="str">
        <f aca="false">IF(AND(P146&gt;='Assumptions &amp; Data'!$C$65,R146&gt;=0,W146&gt;='Assumptions &amp; Data'!$C$66),"Scale",IF(OR(O146&gt;=0,AX146&gt;=0),"Optimise",IF(BA146&gt;=0,"Turn around",IF(BB146&gt;=0,"Relocate or resize",IF(AND(BF146&gt;0,BJ146&lt;='Assumptions &amp; Data'!$C$75,D146&gt;='Assumptions &amp; Data'!$C$64),"Close","Relocate or resize")))))</f>
        <v>Relocate or resize</v>
      </c>
      <c r="BL146" s="42" t="str">
        <f aca="false">INDEX($BK$106:$BK$165,MATCH(BC146,$A$106:$A$165,0))</f>
        <v>Scale</v>
      </c>
      <c r="BM146" s="42" t="str">
        <f aca="false">IF(RANK(P146,$P$106:$P$165)&lt;=ROUND(COUNT($P$106:$P$165)/4,0),"Q1 top",IF(RANK(P146,$P$106:$P$165)&gt;COUNT($P$106:$P$165)-ROUND(COUNT($P$106:$P$165)/4,0),"Q4 bottom","Q2-Q3 middle"))</f>
        <v>Q4 bottom</v>
      </c>
      <c r="BN146" s="40" t="n">
        <f aca="false">SUMIFS('Financial Analysis'!$R$71:$R$790,'Financial Analysis'!$B$71:$B$790,$A146,'Financial Analysis'!$C$71:$C$790,"&gt;="&amp;'Assumptions &amp; Data'!$C$62)/'Assumptions &amp; Data'!$C$85/100000</f>
        <v>3.14837333333333</v>
      </c>
      <c r="BO146" s="40" t="n">
        <f aca="false">SUMIFS('Financial Analysis'!$H$71:$H$790,'Financial Analysis'!$B$71:$B$790,$A146,'Financial Analysis'!$C$71:$C$790,"&gt;="&amp;'Assumptions &amp; Data'!$C$62)/SUMIFS('Financial Analysis'!$E$71:$E$790,'Financial Analysis'!$B$71:$B$790,$A146,'Financial Analysis'!$C$71:$C$790,"&gt;="&amp;'Assumptions &amp; Data'!$C$62)</f>
        <v>538.275516337986</v>
      </c>
      <c r="BP146" s="40" t="n">
        <f aca="false">(SUMIFS('Financial Analysis'!$I$71:$I$790,'Financial Analysis'!$B$71:$B$790,$A146,'Financial Analysis'!$C$71:$C$790,"&gt;="&amp;'Assumptions &amp; Data'!$C$62)+SUMIFS('Financial Analysis'!$J$71:$J$790,'Financial Analysis'!$B$71:$B$790,$A146,'Financial Analysis'!$C$71:$C$790,"&gt;="&amp;'Assumptions &amp; Data'!$C$62)+SUMIFS('Financial Analysis'!$K$71:$K$790,'Financial Analysis'!$B$71:$B$790,$A146,'Financial Analysis'!$C$71:$C$790,"&gt;="&amp;'Assumptions &amp; Data'!$C$62))/SUMIFS('Financial Analysis'!$E$71:$E$790,'Financial Analysis'!$B$71:$B$790,$A146,'Financial Analysis'!$C$71:$C$790,"&gt;="&amp;'Assumptions &amp; Data'!$C$62)</f>
        <v>113.857111481914</v>
      </c>
      <c r="BQ146" s="40" t="n">
        <f aca="false">SUMIFS('Financial Analysis'!$L$71:$L$790,'Financial Analysis'!$B$71:$B$790,$A146,'Financial Analysis'!$C$71:$C$790,"&gt;="&amp;'Assumptions &amp; Data'!$C$62)/SUMIFS('Financial Analysis'!$E$71:$E$790,'Financial Analysis'!$B$71:$B$790,$A146,'Financial Analysis'!$C$71:$C$790,"&gt;="&amp;'Assumptions &amp; Data'!$C$62)</f>
        <v>20.2636412336216</v>
      </c>
      <c r="BR146" s="40" t="n">
        <f aca="false">SUMIFS('Financial Analysis'!$L$71:$L$790,'Financial Analysis'!$B$71:$B$790,$A146,'Financial Analysis'!$C$71:$C$790,"&gt;="&amp;'Assumptions &amp; Data'!$C$62)/SUMIFS('Financial Analysis'!$E$71:$E$790,'Financial Analysis'!$B$71:$B$790,$A146,'Financial Analysis'!$C$71:$C$790,"&gt;="&amp;'Assumptions &amp; Data'!$C$62)</f>
        <v>20.2636412336216</v>
      </c>
      <c r="BS146" s="40" t="n">
        <f aca="false">SUMIFS('Financial Analysis'!$N$71:$N$790,'Financial Analysis'!$B$71:$B$790,$A146,'Financial Analysis'!$C$71:$C$790,"&gt;="&amp;'Assumptions &amp; Data'!$C$62)/SUMIFS('Financial Analysis'!$E$71:$E$790,'Financial Analysis'!$B$71:$B$790,$A146,'Financial Analysis'!$C$71:$C$790,"&gt;="&amp;'Assumptions &amp; Data'!$C$62)</f>
        <v>42.2301224154662</v>
      </c>
      <c r="BT146" s="40" t="n">
        <f aca="false">(SUMIFS('Financial Analysis'!$O$71:$O$790,'Financial Analysis'!$B$71:$B$790,$A146,'Financial Analysis'!$C$71:$C$790,"&gt;="&amp;'Assumptions &amp; Data'!$C$62)+SUMIFS('Financial Analysis'!$P$71:$P$790,'Financial Analysis'!$B$71:$B$790,$A146,'Financial Analysis'!$C$71:$C$790,"&gt;="&amp;'Assumptions &amp; Data'!$C$62))/SUMIFS('Financial Analysis'!$E$71:$E$790,'Financial Analysis'!$B$71:$B$790,$A146,'Financial Analysis'!$C$71:$C$790,"&gt;="&amp;'Assumptions &amp; Data'!$C$62)</f>
        <v>15.38464235064</v>
      </c>
      <c r="BU146" s="40" t="n">
        <f aca="false">SUMIFS('Financial Analysis'!$R$71:$R$790,'Financial Analysis'!$B$71:$B$790,$A146,'Financial Analysis'!$C$71:$C$790,"&gt;="&amp;'Assumptions &amp; Data'!$C$62)/SUMIFS('Financial Analysis'!$E$71:$E$790,'Financial Analysis'!$B$71:$B$790,$A146,'Financial Analysis'!$C$71:$C$790,"&gt;="&amp;'Assumptions &amp; Data'!$C$62)</f>
        <v>70.5017541240576</v>
      </c>
      <c r="BV146" s="40" t="n">
        <f aca="false">SUMIFS('Financial Analysis'!$S$71:$S$790,'Financial Analysis'!$B$71:$B$790,$A146,'Financial Analysis'!$C$71:$C$790,"&gt;="&amp;'Assumptions &amp; Data'!$C$62)/SUMIFS('Financial Analysis'!$E$71:$E$790,'Financial Analysis'!$B$71:$B$790,$A146,'Financial Analysis'!$C$71:$C$790,"&gt;="&amp;'Assumptions &amp; Data'!$C$62)</f>
        <v>142.196014032992</v>
      </c>
      <c r="BW146" s="40" t="n">
        <f aca="false">(SUMIFS('Financial Analysis'!$T$71:$T$790,'Financial Analysis'!$B$71:$B$790,$A146,'Financial Analysis'!$C$71:$C$790,"&gt;="&amp;'Assumptions &amp; Data'!$C$62)+SUMIFS('Financial Analysis'!$U$71:$U$790,'Financial Analysis'!$B$71:$B$790,$A146,'Financial Analysis'!$C$71:$C$790,"&gt;="&amp;'Assumptions &amp; Data'!$C$62))/SUMIFS('Financial Analysis'!$E$71:$E$790,'Financial Analysis'!$B$71:$B$790,$A146,'Financial Analysis'!$C$71:$C$790,"&gt;="&amp;'Assumptions &amp; Data'!$C$62)</f>
        <v>57.5066806001344</v>
      </c>
      <c r="BX146" s="40" t="n">
        <f aca="false">SUMIFS('Financial Analysis'!$V$71:$V$790,'Financial Analysis'!$B$71:$B$790,$A146,'Financial Analysis'!$C$71:$C$790,"&gt;="&amp;'Assumptions &amp; Data'!$C$62)/SUMIFS('Financial Analysis'!$E$71:$E$790,'Financial Analysis'!$B$71:$B$790,$A146,'Financial Analysis'!$C$71:$C$790,"&gt;="&amp;'Assumptions &amp; Data'!$C$62)</f>
        <v>-234.225743274998</v>
      </c>
      <c r="BY146" s="37" t="n">
        <f aca="false">'Assumptions &amp; Data'!J182</f>
        <v>18</v>
      </c>
      <c r="BZ146" s="39" t="str">
        <f aca="false">IF(BK146="Close",COUNTIF($BK$106:BK146,"Close"),"")</f>
        <v/>
      </c>
    </row>
    <row r="147" customFormat="false" ht="15" hidden="false" customHeight="false" outlineLevel="0" collapsed="false">
      <c r="A147" s="48" t="str">
        <f aca="false">'Assumptions &amp; Data'!A183</f>
        <v>DS042</v>
      </c>
      <c r="B147" s="48" t="str">
        <f aca="false">'Assumptions &amp; Data'!B183</f>
        <v>Hyderabad</v>
      </c>
      <c r="C147" s="48" t="str">
        <f aca="false">'Assumptions &amp; Data'!C183</f>
        <v>Mixed use</v>
      </c>
      <c r="D147" s="37" t="n">
        <f aca="false">'Assumptions &amp; Data'!D183</f>
        <v>15</v>
      </c>
      <c r="E147" s="39" t="n">
        <f aca="false">SUMIFS('Financial Analysis'!$E$71:$E$790,'Financial Analysis'!$B$71:$B$790,$A147,'Financial Analysis'!$C$71:$C$790,"&gt;="&amp;'Assumptions &amp; Data'!$C$62)/'Assumptions &amp; Data'!$C$63</f>
        <v>1288.23913043478</v>
      </c>
      <c r="F147" s="40" t="n">
        <f aca="false">SUMIFS('Financial Analysis'!$H$71:$H$790,'Financial Analysis'!$B$71:$B$790,$A147,'Financial Analysis'!$C$71:$C$790,"&gt;="&amp;'Assumptions &amp; Data'!$C$62)/'Assumptions &amp; Data'!$C$85/100000</f>
        <v>226.1161436458</v>
      </c>
      <c r="G147" s="40" t="n">
        <f aca="false">SUMIFS('Financial Analysis'!$F$71:$F$790,'Financial Analysis'!$B$71:$B$790,$A147,'Financial Analysis'!$C$71:$C$790,"&gt;="&amp;'Assumptions &amp; Data'!$C$62)/SUMIFS('Financial Analysis'!$E$71:$E$790,'Financial Analysis'!$B$71:$B$790,$A147,'Financial Analysis'!$C$71:$C$790,"&gt;="&amp;'Assumptions &amp; Data'!$C$62)</f>
        <v>614.306058995258</v>
      </c>
      <c r="H147" s="49" t="n">
        <f aca="false">SUMIFS('Financial Analysis'!$G$71:$G$790,'Financial Analysis'!$B$71:$B$790,$A147,'Financial Analysis'!$C$71:$C$790,"&gt;="&amp;'Assumptions &amp; Data'!$C$62)/SUMIFS('Financial Analysis'!$F$71:$F$790,'Financial Analysis'!$B$71:$B$790,$A147,'Financial Analysis'!$C$71:$C$790,"&gt;="&amp;'Assumptions &amp; Data'!$C$62)</f>
        <v>0.0682836604116218</v>
      </c>
      <c r="I147" s="49" t="n">
        <f aca="false">SUMIFS('Financial Analysis'!$L$71:$L$790,'Financial Analysis'!$B$71:$B$790,$A147,'Financial Analysis'!$C$71:$C$790,"&gt;="&amp;'Assumptions &amp; Data'!$C$62)/SUMIFS('Financial Analysis'!$H$71:$H$790,'Financial Analysis'!$B$71:$B$790,$A147,'Financial Analysis'!$C$71:$C$790,"&gt;="&amp;'Assumptions &amp; Data'!$C$62)</f>
        <v>0.0202837940461492</v>
      </c>
      <c r="J147" s="40" t="n">
        <f aca="false">SUMIFS('Financial Analysis'!$N$71:$N$790,'Financial Analysis'!$B$71:$B$790,$A147,'Financial Analysis'!$C$71:$C$790,"&gt;="&amp;'Assumptions &amp; Data'!$C$62)/SUMIFS('Financial Analysis'!$E$71:$E$790,'Financial Analysis'!$B$71:$B$790,$A147,'Financial Analysis'!$C$71:$C$790,"&gt;="&amp;'Assumptions &amp; Data'!$C$62)</f>
        <v>32.7641861151893</v>
      </c>
      <c r="K147" s="40" t="n">
        <f aca="false">SUMIFS('Financial Analysis'!$R$71:$R$790,'Financial Analysis'!$B$71:$B$790,$A147,'Financial Analysis'!$C$71:$C$790,"&gt;="&amp;'Assumptions &amp; Data'!$C$62)/AVERAGEIFS('Assumptions &amp; Data'!$M$205:$M$924,'Assumptions &amp; Data'!$B$205:$B$924,$A147,'Assumptions &amp; Data'!$C$205:$C$924,"&gt;="&amp;'Assumptions &amp; Data'!$C$62)/'Assumptions &amp; Data'!$C$85</f>
        <v>28.3351063829787</v>
      </c>
      <c r="L147" s="40" t="n">
        <f aca="false">E147/K147</f>
        <v>45.4644183446103</v>
      </c>
      <c r="M147" s="40" t="n">
        <f aca="false">SUMIFS('Financial Analysis'!$Q$71:$Q$790,'Financial Analysis'!$B$71:$B$790,$A147,'Financial Analysis'!$C$71:$C$790,"&gt;="&amp;'Assumptions &amp; Data'!$C$62)/SUMIFS('Financial Analysis'!$E$71:$E$790,'Financial Analysis'!$B$71:$B$790,$A147,'Financial Analysis'!$C$71:$C$790,"&gt;="&amp;'Assumptions &amp; Data'!$C$62)</f>
        <v>66.1746515347883</v>
      </c>
      <c r="N147" s="40" t="n">
        <f aca="false">SUMIFS('Financial Analysis'!$Y$71:$Y$790,'Financial Analysis'!$B$71:$B$790,$A147,'Financial Analysis'!$C$71:$C$790,"&gt;="&amp;'Assumptions &amp; Data'!$C$62)/'Assumptions &amp; Data'!$C$85/100000</f>
        <v>16.5335333333333</v>
      </c>
      <c r="O147" s="40" t="n">
        <f aca="false">SUMIFS('Financial Analysis'!$V$71:$V$790,'Financial Analysis'!$B$71:$B$790,$A147,'Financial Analysis'!$C$71:$C$790,"&gt;="&amp;'Assumptions &amp; Data'!$C$62)/'Assumptions &amp; Data'!$C$85/100000</f>
        <v>9.60942450200014</v>
      </c>
      <c r="P147" s="49" t="n">
        <f aca="false">O147/F147</f>
        <v>0.0424977374329046</v>
      </c>
      <c r="Q147" s="39" t="n">
        <f aca="false">IF(M147&gt;0,N147*100000/(M147*'Assumptions &amp; Data'!$C$63/'Assumptions &amp; Data'!$C$85),9999)</f>
        <v>814.718240319425</v>
      </c>
      <c r="R147" s="49" t="n">
        <f aca="false">E147/Q147-1</f>
        <v>0.581208160909353</v>
      </c>
      <c r="S147" s="50" t="n">
        <f aca="false">'Assumptions &amp; Data'!E183</f>
        <v>53.7</v>
      </c>
      <c r="T147" s="50" t="n">
        <f aca="false">'Assumptions &amp; Data'!G183</f>
        <v>1.3</v>
      </c>
      <c r="U147" s="49" t="n">
        <f aca="false">MAX(0,('Assumptions &amp; Data'!$C$72-T147)/'Assumptions &amp; Data'!$C$72)*'Assumptions &amp; Data'!$C$73</f>
        <v>0.0666666666666667</v>
      </c>
      <c r="V147" s="39" t="n">
        <f aca="false">S147*$B$6*(1-U147)</f>
        <v>1785.35086884577</v>
      </c>
      <c r="W147" s="49" t="n">
        <f aca="false">V147/E147-1</f>
        <v>0.385884675186982</v>
      </c>
      <c r="X147" s="39" t="n">
        <f aca="false">IF(D147&gt;='Assumptions &amp; Data'!$C$64,1,0)</f>
        <v>1</v>
      </c>
      <c r="Y147" s="40" t="str">
        <f aca="false">IF(AND(X147=1,T147&gt;='Assumptions &amp; Data'!$C$72),E147/S147,"")</f>
        <v/>
      </c>
      <c r="Z147" s="49" t="n">
        <f aca="false">IF(X147=1,H147,"")</f>
        <v>0.0682836604116218</v>
      </c>
      <c r="AA147" s="49" t="n">
        <f aca="false">IF(X147=1,I147,"")</f>
        <v>0.0202837940461492</v>
      </c>
      <c r="AB147" s="40" t="n">
        <f aca="false">IF(X147=1,J147,"")</f>
        <v>32.7641861151893</v>
      </c>
      <c r="AC147" s="40" t="n">
        <f aca="false">IF(X147=1,L147,"")</f>
        <v>45.4644183446103</v>
      </c>
      <c r="AD147" s="40" t="n">
        <f aca="false">IF(X147=1,AP147/E147*100,"")</f>
        <v>349.314028248874</v>
      </c>
      <c r="AE147" s="40" t="n">
        <f aca="false">IF(X147=1,M147,"")</f>
        <v>66.1746515347883</v>
      </c>
      <c r="AF147" s="40" t="n">
        <f aca="false">E147*'Assumptions &amp; Data'!$C$63/'Assumptions &amp; Data'!$C$85*G147/100000</f>
        <v>242.687751666667</v>
      </c>
      <c r="AG147" s="49" t="n">
        <f aca="false">MAX(0,H147-$B$7)</f>
        <v>0.013478560408365</v>
      </c>
      <c r="AH147" s="40" t="n">
        <f aca="false">AG147*AF147</f>
        <v>3.27108152120945</v>
      </c>
      <c r="AI147" s="40" t="n">
        <f aca="false">AG147*100*E147*'Assumptions &amp; Data'!$C$63/'Assumptions &amp; Data'!$C$85*M147/100000</f>
        <v>35.2369436436882</v>
      </c>
      <c r="AJ147" s="49" t="n">
        <f aca="false">MAX(0,I147-$B$8)</f>
        <v>0</v>
      </c>
      <c r="AK147" s="40" t="n">
        <f aca="false">AJ147*F147</f>
        <v>0</v>
      </c>
      <c r="AL147" s="40" t="n">
        <f aca="false">MAX(0,K147-E147/$B$10)</f>
        <v>0</v>
      </c>
      <c r="AM147" s="40" t="n">
        <f aca="false">AL147*BN147/K147</f>
        <v>0</v>
      </c>
      <c r="AN147" s="40" t="n">
        <f aca="false">MAX(0,J147-$B$9)</f>
        <v>0</v>
      </c>
      <c r="AO147" s="40" t="n">
        <f aca="false">AN147*E147*'Assumptions &amp; Data'!$C$63/'Assumptions &amp; Data'!$C$85/100000</f>
        <v>0</v>
      </c>
      <c r="AP147" s="37" t="n">
        <f aca="false">'Assumptions &amp; Data'!H183</f>
        <v>4500</v>
      </c>
      <c r="AQ147" s="39" t="n">
        <f aca="false">MIN(AP147,$B$11*E147/100)</f>
        <v>4500</v>
      </c>
      <c r="AR147" s="39" t="n">
        <f aca="false">IF(AP147-AQ147&gt;'Assumptions &amp; Data'!$C$78*AP147,AP147-AQ147,0)</f>
        <v>0</v>
      </c>
      <c r="AS147" s="50" t="n">
        <f aca="false">'Assumptions &amp; Data'!I183</f>
        <v>141</v>
      </c>
      <c r="AT147" s="40" t="n">
        <f aca="false">INDEX('Assumptions &amp; Data'!$B$89:$E$94,MATCH(B147,'Assumptions &amp; Data'!$A$89:$A$94,0),MATCH(C147,'Assumptions &amp; Data'!$B$88:$E$88,0))</f>
        <v>115</v>
      </c>
      <c r="AU147" s="39" t="n">
        <f aca="false">IF(BY147&lt;='Assumptions &amp; Data'!$C$79,1,0)</f>
        <v>1</v>
      </c>
      <c r="AV147" s="40" t="n">
        <f aca="false">AU147*(AR147*AS147+MAX(0,AS147-AT147)*(AP147-AR147))/100000</f>
        <v>1.17</v>
      </c>
      <c r="AW147" s="40" t="n">
        <f aca="false">'Assumptions &amp; Data'!$C$67*(AH147-'Assumptions &amp; Data'!$C$68*AI147+AK147+AM147+AO147+AV147)</f>
        <v>2.45322725086354</v>
      </c>
      <c r="AX147" s="40" t="n">
        <f aca="false">O147+AW147</f>
        <v>12.0626517528637</v>
      </c>
      <c r="AY147" s="49" t="n">
        <f aca="false">IF(D147&lt;'Assumptions &amp; Data'!$C$64,'Assumptions &amp; Data'!$C$70,'Assumptions &amp; Data'!$C$69)</f>
        <v>0.5</v>
      </c>
      <c r="AZ147" s="40" t="n">
        <f aca="false">AY147*MAX(0,V147-E147)*'Assumptions &amp; Data'!$C$63/'Assumptions &amp; Data'!$C$85*(M147-'Assumptions &amp; Data'!$C$71)/100000</f>
        <v>4.28184539746047</v>
      </c>
      <c r="BA147" s="40" t="n">
        <f aca="false">AX147+AZ147</f>
        <v>16.3444971503242</v>
      </c>
      <c r="BB147" s="40" t="n">
        <f aca="false">BA147+(1-'Assumptions &amp; Data'!$C$67)*AV147</f>
        <v>16.8124971503242</v>
      </c>
      <c r="BC147" s="48" t="str">
        <f aca="false">'Assumptions &amp; Data'!F183</f>
        <v>DS041</v>
      </c>
      <c r="BD147" s="39" t="n">
        <f aca="false">INDEX('Assumptions &amp; Data'!$K$142:$K$201,MATCH(BC147,'Assumptions &amp; Data'!$A$142:$A$201,0))*'Assumptions &amp; Data'!$C$77</f>
        <v>1620</v>
      </c>
      <c r="BE147" s="39" t="n">
        <f aca="false">MAX(0,BD147-INDEX($E$106:$E$165,MATCH(BC147,$A$106:$A$165,0)))</f>
        <v>1474.38043478261</v>
      </c>
      <c r="BF147" s="39" t="n">
        <f aca="false">IF(T147&lt;='Assumptions &amp; Data'!$C$74,MIN('Assumptions &amp; Data'!$C$76*E147,BE147),0)</f>
        <v>772.94347826087</v>
      </c>
      <c r="BG147" s="40" t="n">
        <f aca="false">-O147+BF147*'Assumptions &amp; Data'!$C$63/'Assumptions &amp; Data'!$C$85*($B$12-'Assumptions &amp; Data'!$C$71)/100000</f>
        <v>3.36522287780495</v>
      </c>
      <c r="BH147" s="40" t="n">
        <f aca="false">(AS147*AP147*BY147*'Assumptions &amp; Data'!$C$82+K147*(BN147*100000/K147)*'Assumptions &amp; Data'!$C$80*(1-'Assumptions &amp; Data'!$C$81)+AP147*'Assumptions &amp; Data'!$C$83)/100000</f>
        <v>38.970534</v>
      </c>
      <c r="BI147" s="40" t="n">
        <f aca="false">'Assumptions &amp; Data'!L183*MAX(0,1-D147/'Assumptions &amp; Data'!$C$84)</f>
        <v>125.678571428571</v>
      </c>
      <c r="BJ147" s="40" t="n">
        <f aca="false">IF(BG147&gt;0,BH147/BG147,99)</f>
        <v>11.5803723601866</v>
      </c>
      <c r="BK147" s="2" t="str">
        <f aca="false">IF(AND(P147&gt;='Assumptions &amp; Data'!$C$65,R147&gt;=0,W147&gt;='Assumptions &amp; Data'!$C$66),"Scale",IF(OR(O147&gt;=0,AX147&gt;=0),"Optimise",IF(BA147&gt;=0,"Turn around",IF(BB147&gt;=0,"Relocate or resize",IF(AND(BF147&gt;0,BJ147&lt;='Assumptions &amp; Data'!$C$75,D147&gt;='Assumptions &amp; Data'!$C$64),"Close","Relocate or resize")))))</f>
        <v>Scale</v>
      </c>
      <c r="BL147" s="42" t="str">
        <f aca="false">INDEX($BK$106:$BK$165,MATCH(BC147,$A$106:$A$165,0))</f>
        <v>Relocate or resize</v>
      </c>
      <c r="BM147" s="42" t="str">
        <f aca="false">IF(RANK(P147,$P$106:$P$165)&lt;=ROUND(COUNT($P$106:$P$165)/4,0),"Q1 top",IF(RANK(P147,$P$106:$P$165)&gt;COUNT($P$106:$P$165)-ROUND(COUNT($P$106:$P$165)/4,0),"Q4 bottom","Q2-Q3 middle"))</f>
        <v>Q1 top</v>
      </c>
      <c r="BN147" s="40" t="n">
        <f aca="false">SUMIFS('Financial Analysis'!$R$71:$R$790,'Financial Analysis'!$B$71:$B$790,$A147,'Financial Analysis'!$C$71:$C$790,"&gt;="&amp;'Assumptions &amp; Data'!$C$62)/'Assumptions &amp; Data'!$C$85/100000</f>
        <v>5.57559333333333</v>
      </c>
      <c r="BO147" s="40" t="n">
        <f aca="false">SUMIFS('Financial Analysis'!$H$71:$H$790,'Financial Analysis'!$B$71:$B$790,$A147,'Financial Analysis'!$C$71:$C$790,"&gt;="&amp;'Assumptions &amp; Data'!$C$62)/SUMIFS('Financial Analysis'!$E$71:$E$790,'Financial Analysis'!$B$71:$B$790,$A147,'Financial Analysis'!$C$71:$C$790,"&gt;="&amp;'Assumptions &amp; Data'!$C$62)</f>
        <v>572.358992674024</v>
      </c>
      <c r="BP147" s="40" t="n">
        <f aca="false">(SUMIFS('Financial Analysis'!$I$71:$I$790,'Financial Analysis'!$B$71:$B$790,$A147,'Financial Analysis'!$C$71:$C$790,"&gt;="&amp;'Assumptions &amp; Data'!$C$62)+SUMIFS('Financial Analysis'!$J$71:$J$790,'Financial Analysis'!$B$71:$B$790,$A147,'Financial Analysis'!$C$71:$C$790,"&gt;="&amp;'Assumptions &amp; Data'!$C$62)+SUMIFS('Financial Analysis'!$K$71:$K$790,'Financial Analysis'!$B$71:$B$790,$A147,'Financial Analysis'!$C$71:$C$790,"&gt;="&amp;'Assumptions &amp; Data'!$C$62))/SUMIFS('Financial Analysis'!$E$71:$E$790,'Financial Analysis'!$B$71:$B$790,$A147,'Financial Analysis'!$C$71:$C$790,"&gt;="&amp;'Assumptions &amp; Data'!$C$62)</f>
        <v>126.029014250682</v>
      </c>
      <c r="BQ147" s="40" t="n">
        <f aca="false">SUMIFS('Financial Analysis'!$L$71:$L$790,'Financial Analysis'!$B$71:$B$790,$A147,'Financial Analysis'!$C$71:$C$790,"&gt;="&amp;'Assumptions &amp; Data'!$C$62)/SUMIFS('Financial Analysis'!$E$71:$E$790,'Financial Analysis'!$B$71:$B$790,$A147,'Financial Analysis'!$C$71:$C$790,"&gt;="&amp;'Assumptions &amp; Data'!$C$62)</f>
        <v>11.6096119278613</v>
      </c>
      <c r="BR147" s="40" t="n">
        <f aca="false">SUMIFS('Financial Analysis'!$L$71:$L$790,'Financial Analysis'!$B$71:$B$790,$A147,'Financial Analysis'!$C$71:$C$790,"&gt;="&amp;'Assumptions &amp; Data'!$C$62)/SUMIFS('Financial Analysis'!$E$71:$E$790,'Financial Analysis'!$B$71:$B$790,$A147,'Financial Analysis'!$C$71:$C$790,"&gt;="&amp;'Assumptions &amp; Data'!$C$62)</f>
        <v>11.6096119278613</v>
      </c>
      <c r="BS147" s="40" t="n">
        <f aca="false">SUMIFS('Financial Analysis'!$N$71:$N$790,'Financial Analysis'!$B$71:$B$790,$A147,'Financial Analysis'!$C$71:$C$790,"&gt;="&amp;'Assumptions &amp; Data'!$C$62)/SUMIFS('Financial Analysis'!$E$71:$E$790,'Financial Analysis'!$B$71:$B$790,$A147,'Financial Analysis'!$C$71:$C$790,"&gt;="&amp;'Assumptions &amp; Data'!$C$62)</f>
        <v>32.7641861151893</v>
      </c>
      <c r="BT147" s="40" t="n">
        <f aca="false">(SUMIFS('Financial Analysis'!$O$71:$O$790,'Financial Analysis'!$B$71:$B$790,$A147,'Financial Analysis'!$C$71:$C$790,"&gt;="&amp;'Assumptions &amp; Data'!$C$62)+SUMIFS('Financial Analysis'!$P$71:$P$790,'Financial Analysis'!$B$71:$B$790,$A147,'Financial Analysis'!$C$71:$C$790,"&gt;="&amp;'Assumptions &amp; Data'!$C$62))/SUMIFS('Financial Analysis'!$E$71:$E$790,'Financial Analysis'!$B$71:$B$790,$A147,'Financial Analysis'!$C$71:$C$790,"&gt;="&amp;'Assumptions &amp; Data'!$C$62)</f>
        <v>15.4805646728429</v>
      </c>
      <c r="BU147" s="40" t="n">
        <f aca="false">SUMIFS('Financial Analysis'!$R$71:$R$790,'Financial Analysis'!$B$71:$B$790,$A147,'Financial Analysis'!$C$71:$C$790,"&gt;="&amp;'Assumptions &amp; Data'!$C$62)/SUMIFS('Financial Analysis'!$E$71:$E$790,'Financial Analysis'!$B$71:$B$790,$A147,'Financial Analysis'!$C$71:$C$790,"&gt;="&amp;'Assumptions &amp; Data'!$C$62)</f>
        <v>14.1132823706104</v>
      </c>
      <c r="BV147" s="40" t="n">
        <f aca="false">SUMIFS('Financial Analysis'!$S$71:$S$790,'Financial Analysis'!$B$71:$B$790,$A147,'Financial Analysis'!$C$71:$C$790,"&gt;="&amp;'Assumptions &amp; Data'!$C$62)/SUMIFS('Financial Analysis'!$E$71:$E$790,'Financial Analysis'!$B$71:$B$790,$A147,'Financial Analysis'!$C$71:$C$790,"&gt;="&amp;'Assumptions &amp; Data'!$C$62)</f>
        <v>16.0608515162254</v>
      </c>
      <c r="BW147" s="40" t="n">
        <f aca="false">(SUMIFS('Financial Analysis'!$T$71:$T$790,'Financial Analysis'!$B$71:$B$790,$A147,'Financial Analysis'!$C$71:$C$790,"&gt;="&amp;'Assumptions &amp; Data'!$C$62)+SUMIFS('Financial Analysis'!$U$71:$U$790,'Financial Analysis'!$B$71:$B$790,$A147,'Financial Analysis'!$C$71:$C$790,"&gt;="&amp;'Assumptions &amp; Data'!$C$62))/SUMIFS('Financial Analysis'!$E$71:$E$790,'Financial Analysis'!$B$71:$B$790,$A147,'Financial Analysis'!$C$71:$C$790,"&gt;="&amp;'Assumptions &amp; Data'!$C$62)</f>
        <v>11.6765554599301</v>
      </c>
      <c r="BX147" s="40" t="n">
        <f aca="false">SUMIFS('Financial Analysis'!$V$71:$V$790,'Financial Analysis'!$B$71:$B$790,$A147,'Financial Analysis'!$C$71:$C$790,"&gt;="&amp;'Assumptions &amp; Data'!$C$62)/SUMIFS('Financial Analysis'!$E$71:$E$790,'Financial Analysis'!$B$71:$B$790,$A147,'Financial Analysis'!$C$71:$C$790,"&gt;="&amp;'Assumptions &amp; Data'!$C$62)</f>
        <v>24.3239621880224</v>
      </c>
      <c r="BY147" s="37" t="n">
        <f aca="false">'Assumptions &amp; Data'!J183</f>
        <v>9</v>
      </c>
      <c r="BZ147" s="39" t="str">
        <f aca="false">IF(BK147="Close",COUNTIF($BK$106:BK147,"Close"),"")</f>
        <v/>
      </c>
    </row>
    <row r="148" customFormat="false" ht="15" hidden="false" customHeight="false" outlineLevel="0" collapsed="false">
      <c r="A148" s="48" t="str">
        <f aca="false">'Assumptions &amp; Data'!A184</f>
        <v>DS043</v>
      </c>
      <c r="B148" s="48" t="str">
        <f aca="false">'Assumptions &amp; Data'!B184</f>
        <v>Hyderabad</v>
      </c>
      <c r="C148" s="48" t="str">
        <f aca="false">'Assumptions &amp; Data'!C184</f>
        <v>Mixed use</v>
      </c>
      <c r="D148" s="37" t="n">
        <f aca="false">'Assumptions &amp; Data'!D184</f>
        <v>6</v>
      </c>
      <c r="E148" s="39" t="n">
        <f aca="false">SUMIFS('Financial Analysis'!$E$71:$E$790,'Financial Analysis'!$B$71:$B$790,$A148,'Financial Analysis'!$C$71:$C$790,"&gt;="&amp;'Assumptions &amp; Data'!$C$62)/'Assumptions &amp; Data'!$C$63</f>
        <v>550.054347826087</v>
      </c>
      <c r="F148" s="40" t="n">
        <f aca="false">SUMIFS('Financial Analysis'!$H$71:$H$790,'Financial Analysis'!$B$71:$B$790,$A148,'Financial Analysis'!$C$71:$C$790,"&gt;="&amp;'Assumptions &amp; Data'!$C$62)/'Assumptions &amp; Data'!$C$85/100000</f>
        <v>100.5075819978</v>
      </c>
      <c r="G148" s="40" t="n">
        <f aca="false">SUMIFS('Financial Analysis'!$F$71:$F$790,'Financial Analysis'!$B$71:$B$790,$A148,'Financial Analysis'!$C$71:$C$790,"&gt;="&amp;'Assumptions &amp; Data'!$C$62)/SUMIFS('Financial Analysis'!$E$71:$E$790,'Financial Analysis'!$B$71:$B$790,$A148,'Financial Analysis'!$C$71:$C$790,"&gt;="&amp;'Assumptions &amp; Data'!$C$62)</f>
        <v>638.983750617528</v>
      </c>
      <c r="H148" s="49" t="n">
        <f aca="false">SUMIFS('Financial Analysis'!$G$71:$G$790,'Financial Analysis'!$B$71:$B$790,$A148,'Financial Analysis'!$C$71:$C$790,"&gt;="&amp;'Assumptions &amp; Data'!$C$62)/SUMIFS('Financial Analysis'!$F$71:$F$790,'Financial Analysis'!$B$71:$B$790,$A148,'Financial Analysis'!$C$71:$C$790,"&gt;="&amp;'Assumptions &amp; Data'!$C$62)</f>
        <v>0.0675257746557576</v>
      </c>
      <c r="I148" s="49" t="n">
        <f aca="false">SUMIFS('Financial Analysis'!$L$71:$L$790,'Financial Analysis'!$B$71:$B$790,$A148,'Financial Analysis'!$C$71:$C$790,"&gt;="&amp;'Assumptions &amp; Data'!$C$62)/SUMIFS('Financial Analysis'!$H$71:$H$790,'Financial Analysis'!$B$71:$B$790,$A148,'Financial Analysis'!$C$71:$C$790,"&gt;="&amp;'Assumptions &amp; Data'!$C$62)</f>
        <v>0.0301267541982622</v>
      </c>
      <c r="J148" s="40" t="n">
        <f aca="false">SUMIFS('Financial Analysis'!$N$71:$N$790,'Financial Analysis'!$B$71:$B$790,$A148,'Financial Analysis'!$C$71:$C$790,"&gt;="&amp;'Assumptions &amp; Data'!$C$62)/SUMIFS('Financial Analysis'!$E$71:$E$790,'Financial Analysis'!$B$71:$B$790,$A148,'Financial Analysis'!$C$71:$C$790,"&gt;="&amp;'Assumptions &amp; Data'!$C$62)</f>
        <v>42.5529447683035</v>
      </c>
      <c r="K148" s="40" t="n">
        <f aca="false">SUMIFS('Financial Analysis'!$R$71:$R$790,'Financial Analysis'!$B$71:$B$790,$A148,'Financial Analysis'!$C$71:$C$790,"&gt;="&amp;'Assumptions &amp; Data'!$C$62)/AVERAGEIFS('Assumptions &amp; Data'!$M$205:$M$924,'Assumptions &amp; Data'!$B$205:$B$924,$A148,'Assumptions &amp; Data'!$C$205:$C$924,"&gt;="&amp;'Assumptions &amp; Data'!$C$62)/'Assumptions &amp; Data'!$C$85</f>
        <v>16</v>
      </c>
      <c r="L148" s="40" t="n">
        <f aca="false">E148/K148</f>
        <v>34.3783967391304</v>
      </c>
      <c r="M148" s="40" t="n">
        <f aca="false">SUMIFS('Financial Analysis'!$Q$71:$Q$790,'Financial Analysis'!$B$71:$B$790,$A148,'Financial Analysis'!$C$71:$C$790,"&gt;="&amp;'Assumptions &amp; Data'!$C$62)/SUMIFS('Financial Analysis'!$E$71:$E$790,'Financial Analysis'!$B$71:$B$790,$A148,'Financial Analysis'!$C$71:$C$790,"&gt;="&amp;'Assumptions &amp; Data'!$C$62)</f>
        <v>46.3695912607223</v>
      </c>
      <c r="N148" s="40" t="n">
        <f aca="false">SUMIFS('Financial Analysis'!$Y$71:$Y$790,'Financial Analysis'!$B$71:$B$790,$A148,'Financial Analysis'!$C$71:$C$790,"&gt;="&amp;'Assumptions &amp; Data'!$C$62)/'Assumptions &amp; Data'!$C$85/100000</f>
        <v>12.2529066666667</v>
      </c>
      <c r="O148" s="40" t="n">
        <f aca="false">SUMIFS('Financial Analysis'!$V$71:$V$790,'Financial Analysis'!$B$71:$B$790,$A148,'Financial Analysis'!$C$71:$C$790,"&gt;="&amp;'Assumptions &amp; Data'!$C$62)/'Assumptions &amp; Data'!$C$85/100000</f>
        <v>-4.43112944750383</v>
      </c>
      <c r="P148" s="49" t="n">
        <f aca="false">O148/F148</f>
        <v>-0.0440875141897337</v>
      </c>
      <c r="Q148" s="39" t="n">
        <f aca="false">IF(M148&gt;0,N148*100000/(M148*'Assumptions &amp; Data'!$C$63/'Assumptions &amp; Data'!$C$85),9999)</f>
        <v>861.666651537361</v>
      </c>
      <c r="R148" s="49" t="n">
        <f aca="false">E148/Q148-1</f>
        <v>-0.361639043538826</v>
      </c>
      <c r="S148" s="50" t="n">
        <f aca="false">'Assumptions &amp; Data'!E184</f>
        <v>40.5</v>
      </c>
      <c r="T148" s="50" t="n">
        <f aca="false">'Assumptions &amp; Data'!G184</f>
        <v>3.6</v>
      </c>
      <c r="U148" s="49" t="n">
        <f aca="false">MAX(0,('Assumptions &amp; Data'!$C$72-T148)/'Assumptions &amp; Data'!$C$72)*'Assumptions &amp; Data'!$C$73</f>
        <v>0</v>
      </c>
      <c r="V148" s="39" t="n">
        <f aca="false">S148*$B$6*(1-U148)</f>
        <v>1442.67179146556</v>
      </c>
      <c r="W148" s="49" t="n">
        <f aca="false">V148/E148-1</f>
        <v>1.62278045281753</v>
      </c>
      <c r="X148" s="39" t="n">
        <f aca="false">IF(D148&gt;='Assumptions &amp; Data'!$C$64,1,0)</f>
        <v>0</v>
      </c>
      <c r="Y148" s="40" t="str">
        <f aca="false">IF(AND(X148=1,T148&gt;='Assumptions &amp; Data'!$C$72),E148/S148,"")</f>
        <v/>
      </c>
      <c r="Z148" s="49" t="str">
        <f aca="false">IF(X148=1,H148,"")</f>
        <v/>
      </c>
      <c r="AA148" s="49" t="str">
        <f aca="false">IF(X148=1,I148,"")</f>
        <v/>
      </c>
      <c r="AB148" s="40" t="str">
        <f aca="false">IF(X148=1,J148,"")</f>
        <v/>
      </c>
      <c r="AC148" s="40" t="str">
        <f aca="false">IF(X148=1,L148,"")</f>
        <v/>
      </c>
      <c r="AD148" s="40" t="str">
        <f aca="false">IF(X148=1,AP148/E148*100,"")</f>
        <v/>
      </c>
      <c r="AE148" s="40" t="str">
        <f aca="false">IF(X148=1,M148,"")</f>
        <v/>
      </c>
      <c r="AF148" s="40" t="n">
        <f aca="false">E148*'Assumptions &amp; Data'!$C$63/'Assumptions &amp; Data'!$C$85*G148/100000</f>
        <v>107.785909</v>
      </c>
      <c r="AG148" s="49" t="n">
        <f aca="false">MAX(0,H148-$B$7)</f>
        <v>0.0127206746525008</v>
      </c>
      <c r="AH148" s="40" t="n">
        <f aca="false">AG148*AF148</f>
        <v>1.37110948051306</v>
      </c>
      <c r="AI148" s="40" t="n">
        <f aca="false">AG148*100*E148*'Assumptions &amp; Data'!$C$63/'Assumptions &amp; Data'!$C$85*M148/100000</f>
        <v>9.94982832093132</v>
      </c>
      <c r="AJ148" s="49" t="n">
        <f aca="false">MAX(0,I148-$B$8)</f>
        <v>0.00872216048797507</v>
      </c>
      <c r="AK148" s="40" t="n">
        <f aca="false">AJ148*F148</f>
        <v>0.876643260443125</v>
      </c>
      <c r="AL148" s="40" t="n">
        <f aca="false">MAX(0,K148-E148/$B$10)</f>
        <v>1.58861983124384</v>
      </c>
      <c r="AM148" s="40" t="n">
        <f aca="false">AL148*BN148/K148</f>
        <v>0.312598019593289</v>
      </c>
      <c r="AN148" s="40" t="n">
        <f aca="false">MAX(0,J148-$B$9)</f>
        <v>4.34678817184277</v>
      </c>
      <c r="AO148" s="40" t="n">
        <f aca="false">AN148*E148*'Assumptions &amp; Data'!$C$63/'Assumptions &amp; Data'!$C$85/100000</f>
        <v>0.733230718120344</v>
      </c>
      <c r="AP148" s="37" t="n">
        <f aca="false">'Assumptions &amp; Data'!H184</f>
        <v>4500</v>
      </c>
      <c r="AQ148" s="39" t="n">
        <f aca="false">MIN(AP148,$B$11*E148/100)</f>
        <v>2113.51146714671</v>
      </c>
      <c r="AR148" s="39" t="n">
        <f aca="false">IF(AP148-AQ148&gt;'Assumptions &amp; Data'!$C$78*AP148,AP148-AQ148,0)</f>
        <v>2386.4885328533</v>
      </c>
      <c r="AS148" s="50" t="n">
        <f aca="false">'Assumptions &amp; Data'!I184</f>
        <v>112</v>
      </c>
      <c r="AT148" s="40" t="n">
        <f aca="false">INDEX('Assumptions &amp; Data'!$B$89:$E$94,MATCH(B148,'Assumptions &amp; Data'!$A$89:$A$94,0),MATCH(C148,'Assumptions &amp; Data'!$B$88:$E$88,0))</f>
        <v>115</v>
      </c>
      <c r="AU148" s="39" t="n">
        <f aca="false">IF(BY148&lt;='Assumptions &amp; Data'!$C$79,1,0)</f>
        <v>0</v>
      </c>
      <c r="AV148" s="40" t="n">
        <f aca="false">AU148*(AR148*AS148+MAX(0,AS148-AT148)*(AP148-AR148))/100000</f>
        <v>0</v>
      </c>
      <c r="AW148" s="40" t="n">
        <f aca="false">'Assumptions &amp; Data'!$C$67*(AH148-'Assumptions &amp; Data'!$C$68*AI148+AK148+AM148+AO148+AV148)</f>
        <v>1.9164499172763</v>
      </c>
      <c r="AX148" s="40" t="n">
        <f aca="false">O148+AW148</f>
        <v>-2.51467953022753</v>
      </c>
      <c r="AY148" s="49" t="n">
        <f aca="false">IF(D148&lt;'Assumptions &amp; Data'!$C$64,'Assumptions &amp; Data'!$C$70,'Assumptions &amp; Data'!$C$69)</f>
        <v>0.8</v>
      </c>
      <c r="AZ148" s="40" t="n">
        <f aca="false">AY148*MAX(0,V148-E148)*'Assumptions &amp; Data'!$C$63/'Assumptions &amp; Data'!$C$85*(M148-'Assumptions &amp; Data'!$C$71)/100000</f>
        <v>7.96453361364522</v>
      </c>
      <c r="BA148" s="40" t="n">
        <f aca="false">AX148+AZ148</f>
        <v>5.44985408341769</v>
      </c>
      <c r="BB148" s="40" t="n">
        <f aca="false">BA148+(1-'Assumptions &amp; Data'!$C$67)*AV148</f>
        <v>5.44985408341769</v>
      </c>
      <c r="BC148" s="48" t="str">
        <f aca="false">'Assumptions &amp; Data'!F184</f>
        <v>DS040</v>
      </c>
      <c r="BD148" s="39" t="n">
        <f aca="false">INDEX('Assumptions &amp; Data'!$K$142:$K$201,MATCH(BC148,'Assumptions &amp; Data'!$A$142:$A$201,0))*'Assumptions &amp; Data'!$C$77</f>
        <v>1296</v>
      </c>
      <c r="BE148" s="39" t="n">
        <f aca="false">MAX(0,BD148-INDEX($E$106:$E$165,MATCH(BC148,$A$106:$A$165,0)))</f>
        <v>645.434782608696</v>
      </c>
      <c r="BF148" s="39" t="n">
        <f aca="false">IF(T148&lt;='Assumptions &amp; Data'!$C$74,MIN('Assumptions &amp; Data'!$C$76*E148,BE148),0)</f>
        <v>0</v>
      </c>
      <c r="BG148" s="40" t="n">
        <f aca="false">-O148+BF148*'Assumptions &amp; Data'!$C$63/'Assumptions &amp; Data'!$C$85*($B$12-'Assumptions &amp; Data'!$C$71)/100000</f>
        <v>4.43112944750383</v>
      </c>
      <c r="BH148" s="40" t="n">
        <f aca="false">(AS148*AP148*BY148*'Assumptions &amp; Data'!$C$82+K148*(BN148*100000/K148)*'Assumptions &amp; Data'!$C$80*(1-'Assumptions &amp; Data'!$C$81)+AP148*'Assumptions &amp; Data'!$C$83)/100000</f>
        <v>68.713536</v>
      </c>
      <c r="BI148" s="40" t="n">
        <f aca="false">'Assumptions &amp; Data'!L184*MAX(0,1-D148/'Assumptions &amp; Data'!$C$84)</f>
        <v>142.071428571429</v>
      </c>
      <c r="BJ148" s="40" t="n">
        <f aca="false">IF(BG148&gt;0,BH148/BG148,99)</f>
        <v>15.5070026308322</v>
      </c>
      <c r="BK148" s="2" t="str">
        <f aca="false">IF(AND(P148&gt;='Assumptions &amp; Data'!$C$65,R148&gt;=0,W148&gt;='Assumptions &amp; Data'!$C$66),"Scale",IF(OR(O148&gt;=0,AX148&gt;=0),"Optimise",IF(BA148&gt;=0,"Turn around",IF(BB148&gt;=0,"Relocate or resize",IF(AND(BF148&gt;0,BJ148&lt;='Assumptions &amp; Data'!$C$75,D148&gt;='Assumptions &amp; Data'!$C$64),"Close","Relocate or resize")))))</f>
        <v>Turn around</v>
      </c>
      <c r="BL148" s="42" t="str">
        <f aca="false">INDEX($BK$106:$BK$165,MATCH(BC148,$A$106:$A$165,0))</f>
        <v>Optimise</v>
      </c>
      <c r="BM148" s="42" t="str">
        <f aca="false">IF(RANK(P148,$P$106:$P$165)&lt;=ROUND(COUNT($P$106:$P$165)/4,0),"Q1 top",IF(RANK(P148,$P$106:$P$165)&gt;COUNT($P$106:$P$165)-ROUND(COUNT($P$106:$P$165)/4,0),"Q4 bottom","Q2-Q3 middle"))</f>
        <v>Q4 bottom</v>
      </c>
      <c r="BN148" s="40" t="n">
        <f aca="false">SUMIFS('Financial Analysis'!$R$71:$R$790,'Financial Analysis'!$B$71:$B$790,$A148,'Financial Analysis'!$C$71:$C$790,"&gt;="&amp;'Assumptions &amp; Data'!$C$62)/'Assumptions &amp; Data'!$C$85/100000</f>
        <v>3.14837333333333</v>
      </c>
      <c r="BO148" s="40" t="n">
        <f aca="false">SUMIFS('Financial Analysis'!$H$71:$H$790,'Financial Analysis'!$B$71:$B$790,$A148,'Financial Analysis'!$C$71:$C$790,"&gt;="&amp;'Assumptions &amp; Data'!$C$62)/SUMIFS('Financial Analysis'!$E$71:$E$790,'Financial Analysis'!$B$71:$B$790,$A148,'Financial Analysis'!$C$71:$C$790,"&gt;="&amp;'Assumptions &amp; Data'!$C$62)</f>
        <v>595.835877864638</v>
      </c>
      <c r="BP148" s="40" t="n">
        <f aca="false">(SUMIFS('Financial Analysis'!$I$71:$I$790,'Financial Analysis'!$B$71:$B$790,$A148,'Financial Analysis'!$C$71:$C$790,"&gt;="&amp;'Assumptions &amp; Data'!$C$62)+SUMIFS('Financial Analysis'!$J$71:$J$790,'Financial Analysis'!$B$71:$B$790,$A148,'Financial Analysis'!$C$71:$C$790,"&gt;="&amp;'Assumptions &amp; Data'!$C$62)+SUMIFS('Financial Analysis'!$K$71:$K$790,'Financial Analysis'!$B$71:$B$790,$A148,'Financial Analysis'!$C$71:$C$790,"&gt;="&amp;'Assumptions &amp; Data'!$C$62))/SUMIFS('Financial Analysis'!$E$71:$E$790,'Financial Analysis'!$B$71:$B$790,$A148,'Financial Analysis'!$C$71:$C$790,"&gt;="&amp;'Assumptions &amp; Data'!$C$62)</f>
        <v>122.854622065336</v>
      </c>
      <c r="BQ148" s="40" t="n">
        <f aca="false">SUMIFS('Financial Analysis'!$L$71:$L$790,'Financial Analysis'!$B$71:$B$790,$A148,'Financial Analysis'!$C$71:$C$790,"&gt;="&amp;'Assumptions &amp; Data'!$C$62)/SUMIFS('Financial Analysis'!$E$71:$E$790,'Financial Analysis'!$B$71:$B$790,$A148,'Financial Analysis'!$C$71:$C$790,"&gt;="&amp;'Assumptions &amp; Data'!$C$62)</f>
        <v>17.9506010349337</v>
      </c>
      <c r="BR148" s="40" t="n">
        <f aca="false">SUMIFS('Financial Analysis'!$L$71:$L$790,'Financial Analysis'!$B$71:$B$790,$A148,'Financial Analysis'!$C$71:$C$790,"&gt;="&amp;'Assumptions &amp; Data'!$C$62)/SUMIFS('Financial Analysis'!$E$71:$E$790,'Financial Analysis'!$B$71:$B$790,$A148,'Financial Analysis'!$C$71:$C$790,"&gt;="&amp;'Assumptions &amp; Data'!$C$62)</f>
        <v>17.9506010349337</v>
      </c>
      <c r="BS148" s="40" t="n">
        <f aca="false">SUMIFS('Financial Analysis'!$N$71:$N$790,'Financial Analysis'!$B$71:$B$790,$A148,'Financial Analysis'!$C$71:$C$790,"&gt;="&amp;'Assumptions &amp; Data'!$C$62)/SUMIFS('Financial Analysis'!$E$71:$E$790,'Financial Analysis'!$B$71:$B$790,$A148,'Financial Analysis'!$C$71:$C$790,"&gt;="&amp;'Assumptions &amp; Data'!$C$62)</f>
        <v>42.5529447683035</v>
      </c>
      <c r="BT148" s="40" t="n">
        <f aca="false">(SUMIFS('Financial Analysis'!$O$71:$O$790,'Financial Analysis'!$B$71:$B$790,$A148,'Financial Analysis'!$C$71:$C$790,"&gt;="&amp;'Assumptions &amp; Data'!$C$62)+SUMIFS('Financial Analysis'!$P$71:$P$790,'Financial Analysis'!$B$71:$B$790,$A148,'Financial Analysis'!$C$71:$C$790,"&gt;="&amp;'Assumptions &amp; Data'!$C$62))/SUMIFS('Financial Analysis'!$E$71:$E$790,'Financial Analysis'!$B$71:$B$790,$A148,'Financial Analysis'!$C$71:$C$790,"&gt;="&amp;'Assumptions &amp; Data'!$C$62)</f>
        <v>15.9814850013768</v>
      </c>
      <c r="BU148" s="40" t="n">
        <f aca="false">SUMIFS('Financial Analysis'!$R$71:$R$790,'Financial Analysis'!$B$71:$B$790,$A148,'Financial Analysis'!$C$71:$C$790,"&gt;="&amp;'Assumptions &amp; Data'!$C$62)/SUMIFS('Financial Analysis'!$E$71:$E$790,'Financial Analysis'!$B$71:$B$790,$A148,'Financial Analysis'!$C$71:$C$790,"&gt;="&amp;'Assumptions &amp; Data'!$C$62)</f>
        <v>18.6644007509139</v>
      </c>
      <c r="BV148" s="40" t="n">
        <f aca="false">SUMIFS('Financial Analysis'!$S$71:$S$790,'Financial Analysis'!$B$71:$B$790,$A148,'Financial Analysis'!$C$71:$C$790,"&gt;="&amp;'Assumptions &amp; Data'!$C$62)/SUMIFS('Financial Analysis'!$E$71:$E$790,'Financial Analysis'!$B$71:$B$790,$A148,'Financial Analysis'!$C$71:$C$790,"&gt;="&amp;'Assumptions &amp; Data'!$C$62)</f>
        <v>29.8784705068669</v>
      </c>
      <c r="BW148" s="40" t="n">
        <f aca="false">(SUMIFS('Financial Analysis'!$T$71:$T$790,'Financial Analysis'!$B$71:$B$790,$A148,'Financial Analysis'!$C$71:$C$790,"&gt;="&amp;'Assumptions &amp; Data'!$C$62)+SUMIFS('Financial Analysis'!$U$71:$U$790,'Financial Analysis'!$B$71:$B$790,$A148,'Financial Analysis'!$C$71:$C$790,"&gt;="&amp;'Assumptions &amp; Data'!$C$62))/SUMIFS('Financial Analysis'!$E$71:$E$790,'Financial Analysis'!$B$71:$B$790,$A148,'Financial Analysis'!$C$71:$C$790,"&gt;="&amp;'Assumptions &amp; Data'!$C$62)</f>
        <v>24.0956427230511</v>
      </c>
      <c r="BX148" s="40" t="n">
        <f aca="false">SUMIFS('Financial Analysis'!$V$71:$V$790,'Financial Analysis'!$B$71:$B$790,$A148,'Financial Analysis'!$C$71:$C$790,"&gt;="&amp;'Assumptions &amp; Data'!$C$62)/SUMIFS('Financial Analysis'!$E$71:$E$790,'Financial Analysis'!$B$71:$B$790,$A148,'Financial Analysis'!$C$71:$C$790,"&gt;="&amp;'Assumptions &amp; Data'!$C$62)</f>
        <v>-26.2689227201097</v>
      </c>
      <c r="BY148" s="37" t="n">
        <f aca="false">'Assumptions &amp; Data'!J184</f>
        <v>24</v>
      </c>
      <c r="BZ148" s="39" t="str">
        <f aca="false">IF(BK148="Close",COUNTIF($BK$106:BK148,"Close"),"")</f>
        <v/>
      </c>
    </row>
    <row r="149" customFormat="false" ht="15" hidden="false" customHeight="false" outlineLevel="0" collapsed="false">
      <c r="A149" s="48" t="str">
        <f aca="false">'Assumptions &amp; Data'!A185</f>
        <v>DS044</v>
      </c>
      <c r="B149" s="48" t="str">
        <f aca="false">'Assumptions &amp; Data'!B185</f>
        <v>Hyderabad</v>
      </c>
      <c r="C149" s="48" t="str">
        <f aca="false">'Assumptions &amp; Data'!C185</f>
        <v>Commercial / office</v>
      </c>
      <c r="D149" s="37" t="n">
        <f aca="false">'Assumptions &amp; Data'!D185</f>
        <v>9</v>
      </c>
      <c r="E149" s="39" t="n">
        <f aca="false">SUMIFS('Financial Analysis'!$E$71:$E$790,'Financial Analysis'!$B$71:$B$790,$A149,'Financial Analysis'!$C$71:$C$790,"&gt;="&amp;'Assumptions &amp; Data'!$C$62)/'Assumptions &amp; Data'!$C$63</f>
        <v>554.239130434783</v>
      </c>
      <c r="F149" s="40" t="n">
        <f aca="false">SUMIFS('Financial Analysis'!$H$71:$H$790,'Financial Analysis'!$B$71:$B$790,$A149,'Financial Analysis'!$C$71:$C$790,"&gt;="&amp;'Assumptions &amp; Data'!$C$62)/'Assumptions &amp; Data'!$C$85/100000</f>
        <v>93.8209524744</v>
      </c>
      <c r="G149" s="40" t="n">
        <f aca="false">SUMIFS('Financial Analysis'!$F$71:$F$790,'Financial Analysis'!$B$71:$B$790,$A149,'Financial Analysis'!$C$71:$C$790,"&gt;="&amp;'Assumptions &amp; Data'!$C$62)/SUMIFS('Financial Analysis'!$E$71:$E$790,'Financial Analysis'!$B$71:$B$790,$A149,'Financial Analysis'!$C$71:$C$790,"&gt;="&amp;'Assumptions &amp; Data'!$C$62)</f>
        <v>587.787566189449</v>
      </c>
      <c r="H149" s="49" t="n">
        <f aca="false">SUMIFS('Financial Analysis'!$G$71:$G$790,'Financial Analysis'!$B$71:$B$790,$A149,'Financial Analysis'!$C$71:$C$790,"&gt;="&amp;'Assumptions &amp; Data'!$C$62)/SUMIFS('Financial Analysis'!$F$71:$F$790,'Financial Analysis'!$B$71:$B$790,$A149,'Financial Analysis'!$C$71:$C$790,"&gt;="&amp;'Assumptions &amp; Data'!$C$62)</f>
        <v>0.0608916859922737</v>
      </c>
      <c r="I149" s="49" t="n">
        <f aca="false">SUMIFS('Financial Analysis'!$L$71:$L$790,'Financial Analysis'!$B$71:$B$790,$A149,'Financial Analysis'!$C$71:$C$790,"&gt;="&amp;'Assumptions &amp; Data'!$C$62)/SUMIFS('Financial Analysis'!$H$71:$H$790,'Financial Analysis'!$B$71:$B$790,$A149,'Financial Analysis'!$C$71:$C$790,"&gt;="&amp;'Assumptions &amp; Data'!$C$62)</f>
        <v>0.0281774077844573</v>
      </c>
      <c r="J149" s="40" t="n">
        <f aca="false">SUMIFS('Financial Analysis'!$N$71:$N$790,'Financial Analysis'!$B$71:$B$790,$A149,'Financial Analysis'!$C$71:$C$790,"&gt;="&amp;'Assumptions &amp; Data'!$C$62)/SUMIFS('Financial Analysis'!$E$71:$E$790,'Financial Analysis'!$B$71:$B$790,$A149,'Financial Analysis'!$C$71:$C$790,"&gt;="&amp;'Assumptions &amp; Data'!$C$62)</f>
        <v>40.0156579721514</v>
      </c>
      <c r="K149" s="40" t="n">
        <f aca="false">SUMIFS('Financial Analysis'!$R$71:$R$790,'Financial Analysis'!$B$71:$B$790,$A149,'Financial Analysis'!$C$71:$C$790,"&gt;="&amp;'Assumptions &amp; Data'!$C$62)/AVERAGEIFS('Assumptions &amp; Data'!$M$205:$M$924,'Assumptions &amp; Data'!$B$205:$B$924,$A149,'Assumptions &amp; Data'!$C$205:$C$924,"&gt;="&amp;'Assumptions &amp; Data'!$C$62)/'Assumptions &amp; Data'!$C$85</f>
        <v>16.6672652120884</v>
      </c>
      <c r="L149" s="40" t="n">
        <f aca="false">E149/K149</f>
        <v>33.2531536147158</v>
      </c>
      <c r="M149" s="40" t="n">
        <f aca="false">SUMIFS('Financial Analysis'!$Q$71:$Q$790,'Financial Analysis'!$B$71:$B$790,$A149,'Financial Analysis'!$C$71:$C$790,"&gt;="&amp;'Assumptions &amp; Data'!$C$62)/SUMIFS('Financial Analysis'!$E$71:$E$790,'Financial Analysis'!$B$71:$B$790,$A149,'Financial Analysis'!$C$71:$C$790,"&gt;="&amp;'Assumptions &amp; Data'!$C$62)</f>
        <v>42.8337344492943</v>
      </c>
      <c r="N149" s="40" t="n">
        <f aca="false">SUMIFS('Financial Analysis'!$Y$71:$Y$790,'Financial Analysis'!$B$71:$B$790,$A149,'Financial Analysis'!$C$71:$C$790,"&gt;="&amp;'Assumptions &amp; Data'!$C$62)/'Assumptions &amp; Data'!$C$85/100000</f>
        <v>12.2131333333333</v>
      </c>
      <c r="O149" s="40" t="n">
        <f aca="false">SUMIFS('Financial Analysis'!$V$71:$V$790,'Financial Analysis'!$B$71:$B$790,$A149,'Financial Analysis'!$C$71:$C$790,"&gt;="&amp;'Assumptions &amp; Data'!$C$62)/'Assumptions &amp; Data'!$C$85/100000</f>
        <v>-4.93282626810161</v>
      </c>
      <c r="P149" s="49" t="n">
        <f aca="false">O149/F149</f>
        <v>-0.0525770218485853</v>
      </c>
      <c r="Q149" s="39" t="n">
        <f aca="false">IF(M149&gt;0,N149*100000/(M149*'Assumptions &amp; Data'!$C$63/'Assumptions &amp; Data'!$C$85),9999)</f>
        <v>929.767980649766</v>
      </c>
      <c r="R149" s="49" t="n">
        <f aca="false">E149/Q149-1</f>
        <v>-0.403895227659428</v>
      </c>
      <c r="S149" s="50" t="n">
        <f aca="false">'Assumptions &amp; Data'!E185</f>
        <v>34.6</v>
      </c>
      <c r="T149" s="50" t="n">
        <f aca="false">'Assumptions &amp; Data'!G185</f>
        <v>3.1</v>
      </c>
      <c r="U149" s="49" t="n">
        <f aca="false">MAX(0,('Assumptions &amp; Data'!$C$72-T149)/'Assumptions &amp; Data'!$C$72)*'Assumptions &amp; Data'!$C$73</f>
        <v>0</v>
      </c>
      <c r="V149" s="39" t="n">
        <f aca="false">S149*$B$6*(1-U149)</f>
        <v>1232.50478974588</v>
      </c>
      <c r="W149" s="49" t="n">
        <f aca="false">V149/E149-1</f>
        <v>1.22377800856288</v>
      </c>
      <c r="X149" s="39" t="n">
        <f aca="false">IF(D149&gt;='Assumptions &amp; Data'!$C$64,1,0)</f>
        <v>0</v>
      </c>
      <c r="Y149" s="40" t="str">
        <f aca="false">IF(AND(X149=1,T149&gt;='Assumptions &amp; Data'!$C$72),E149/S149,"")</f>
        <v/>
      </c>
      <c r="Z149" s="49" t="str">
        <f aca="false">IF(X149=1,H149,"")</f>
        <v/>
      </c>
      <c r="AA149" s="49" t="str">
        <f aca="false">IF(X149=1,I149,"")</f>
        <v/>
      </c>
      <c r="AB149" s="40" t="str">
        <f aca="false">IF(X149=1,J149,"")</f>
        <v/>
      </c>
      <c r="AC149" s="40" t="str">
        <f aca="false">IF(X149=1,L149,"")</f>
        <v/>
      </c>
      <c r="AD149" s="40" t="str">
        <f aca="false">IF(X149=1,AP149/E149*100,"")</f>
        <v/>
      </c>
      <c r="AE149" s="40" t="str">
        <f aca="false">IF(X149=1,M149,"")</f>
        <v/>
      </c>
      <c r="AF149" s="40" t="n">
        <f aca="false">E149*'Assumptions &amp; Data'!$C$63/'Assumptions &amp; Data'!$C$85*G149/100000</f>
        <v>99.9042933333334</v>
      </c>
      <c r="AG149" s="49" t="n">
        <f aca="false">MAX(0,H149-$B$7)</f>
        <v>0.00608658598901688</v>
      </c>
      <c r="AH149" s="40" t="n">
        <f aca="false">AG149*AF149</f>
        <v>0.608076072045299</v>
      </c>
      <c r="AI149" s="40" t="n">
        <f aca="false">AG149*100*E149*'Assumptions &amp; Data'!$C$63/'Assumptions &amp; Data'!$C$85*M149/100000</f>
        <v>4.431221497898</v>
      </c>
      <c r="AJ149" s="49" t="n">
        <f aca="false">MAX(0,I149-$B$8)</f>
        <v>0.00677281407417023</v>
      </c>
      <c r="AK149" s="40" t="n">
        <f aca="false">AJ149*F149</f>
        <v>0.635431867370673</v>
      </c>
      <c r="AL149" s="40" t="n">
        <f aca="false">MAX(0,K149-E149/$B$10)</f>
        <v>2.14624407178846</v>
      </c>
      <c r="AM149" s="40" t="n">
        <f aca="false">AL149*BN149/K149</f>
        <v>0.422323600152721</v>
      </c>
      <c r="AN149" s="40" t="n">
        <f aca="false">MAX(0,J149-$B$9)</f>
        <v>1.80950137569064</v>
      </c>
      <c r="AO149" s="40" t="n">
        <f aca="false">AN149*E149*'Assumptions &amp; Data'!$C$63/'Assumptions &amp; Data'!$C$85/100000</f>
        <v>0.307554917154887</v>
      </c>
      <c r="AP149" s="37" t="n">
        <f aca="false">'Assumptions &amp; Data'!H185</f>
        <v>3500</v>
      </c>
      <c r="AQ149" s="39" t="n">
        <f aca="false">MIN(AP149,$B$11*E149/100)</f>
        <v>2129.59094377651</v>
      </c>
      <c r="AR149" s="39" t="n">
        <f aca="false">IF(AP149-AQ149&gt;'Assumptions &amp; Data'!$C$78*AP149,AP149-AQ149,0)</f>
        <v>1370.40905622349</v>
      </c>
      <c r="AS149" s="50" t="n">
        <f aca="false">'Assumptions &amp; Data'!I185</f>
        <v>164</v>
      </c>
      <c r="AT149" s="40" t="n">
        <f aca="false">INDEX('Assumptions &amp; Data'!$B$89:$E$94,MATCH(B149,'Assumptions &amp; Data'!$A$89:$A$94,0),MATCH(C149,'Assumptions &amp; Data'!$B$88:$E$88,0))</f>
        <v>130</v>
      </c>
      <c r="AU149" s="39" t="n">
        <f aca="false">IF(BY149&lt;='Assumptions &amp; Data'!$C$79,1,0)</f>
        <v>1</v>
      </c>
      <c r="AV149" s="40" t="n">
        <f aca="false">AU149*(AR149*AS149+MAX(0,AS149-AT149)*(AP149-AR149))/100000</f>
        <v>2.97153177309053</v>
      </c>
      <c r="AW149" s="40" t="n">
        <f aca="false">'Assumptions &amp; Data'!$C$67*(AH149-'Assumptions &amp; Data'!$C$68*AI149+AK149+AM149+AO149+AV149)</f>
        <v>2.94036360890108</v>
      </c>
      <c r="AX149" s="40" t="n">
        <f aca="false">O149+AW149</f>
        <v>-1.99246265920053</v>
      </c>
      <c r="AY149" s="49" t="n">
        <f aca="false">IF(D149&lt;'Assumptions &amp; Data'!$C$64,'Assumptions &amp; Data'!$C$70,'Assumptions &amp; Data'!$C$69)</f>
        <v>0.8</v>
      </c>
      <c r="AZ149" s="40" t="n">
        <f aca="false">AY149*MAX(0,V149-E149)*'Assumptions &amp; Data'!$C$63/'Assumptions &amp; Data'!$C$85*(M149-'Assumptions &amp; Data'!$C$71)/100000</f>
        <v>5.46357199476919</v>
      </c>
      <c r="BA149" s="40" t="n">
        <f aca="false">AX149+AZ149</f>
        <v>3.47110933556866</v>
      </c>
      <c r="BB149" s="40" t="n">
        <f aca="false">BA149+(1-'Assumptions &amp; Data'!$C$67)*AV149</f>
        <v>4.65972204480487</v>
      </c>
      <c r="BC149" s="48" t="str">
        <f aca="false">'Assumptions &amp; Data'!F185</f>
        <v>DS039</v>
      </c>
      <c r="BD149" s="39" t="n">
        <f aca="false">INDEX('Assumptions &amp; Data'!$K$142:$K$201,MATCH(BC149,'Assumptions &amp; Data'!$A$142:$A$201,0))*'Assumptions &amp; Data'!$C$77</f>
        <v>1620</v>
      </c>
      <c r="BE149" s="39" t="n">
        <f aca="false">MAX(0,BD149-INDEX($E$106:$E$165,MATCH(BC149,$A$106:$A$165,0)))</f>
        <v>370.891304347826</v>
      </c>
      <c r="BF149" s="39" t="n">
        <f aca="false">IF(T149&lt;='Assumptions &amp; Data'!$C$74,MIN('Assumptions &amp; Data'!$C$76*E149,BE149),0)</f>
        <v>0</v>
      </c>
      <c r="BG149" s="40" t="n">
        <f aca="false">-O149+BF149*'Assumptions &amp; Data'!$C$63/'Assumptions &amp; Data'!$C$85*($B$12-'Assumptions &amp; Data'!$C$71)/100000</f>
        <v>4.93282626810161</v>
      </c>
      <c r="BH149" s="40" t="n">
        <f aca="false">(AS149*AP149*BY149*'Assumptions &amp; Data'!$C$82+K149*(BN149*100000/K149)*'Assumptions &amp; Data'!$C$80*(1-'Assumptions &amp; Data'!$C$81)+AP149*'Assumptions &amp; Data'!$C$83)/100000</f>
        <v>7.151706</v>
      </c>
      <c r="BI149" s="40" t="n">
        <f aca="false">'Assumptions &amp; Data'!L185*MAX(0,1-D149/'Assumptions &amp; Data'!$C$84)</f>
        <v>106.25</v>
      </c>
      <c r="BJ149" s="40" t="n">
        <f aca="false">IF(BG149&gt;0,BH149/BG149,99)</f>
        <v>1.44981915261174</v>
      </c>
      <c r="BK149" s="2" t="str">
        <f aca="false">IF(AND(P149&gt;='Assumptions &amp; Data'!$C$65,R149&gt;=0,W149&gt;='Assumptions &amp; Data'!$C$66),"Scale",IF(OR(O149&gt;=0,AX149&gt;=0),"Optimise",IF(BA149&gt;=0,"Turn around",IF(BB149&gt;=0,"Relocate or resize",IF(AND(BF149&gt;0,BJ149&lt;='Assumptions &amp; Data'!$C$75,D149&gt;='Assumptions &amp; Data'!$C$64),"Close","Relocate or resize")))))</f>
        <v>Turn around</v>
      </c>
      <c r="BL149" s="42" t="str">
        <f aca="false">INDEX($BK$106:$BK$165,MATCH(BC149,$A$106:$A$165,0))</f>
        <v>Optimise</v>
      </c>
      <c r="BM149" s="42" t="str">
        <f aca="false">IF(RANK(P149,$P$106:$P$165)&lt;=ROUND(COUNT($P$106:$P$165)/4,0),"Q1 top",IF(RANK(P149,$P$106:$P$165)&gt;COUNT($P$106:$P$165)-ROUND(COUNT($P$106:$P$165)/4,0),"Q4 bottom","Q2-Q3 middle"))</f>
        <v>Q4 bottom</v>
      </c>
      <c r="BN149" s="40" t="n">
        <f aca="false">SUMIFS('Financial Analysis'!$R$71:$R$790,'Financial Analysis'!$B$71:$B$790,$A149,'Financial Analysis'!$C$71:$C$790,"&gt;="&amp;'Assumptions &amp; Data'!$C$62)/'Assumptions &amp; Data'!$C$85/100000</f>
        <v>3.27967333333333</v>
      </c>
      <c r="BO149" s="40" t="n">
        <f aca="false">SUMIFS('Financial Analysis'!$H$71:$H$790,'Financial Analysis'!$B$71:$B$790,$A149,'Financial Analysis'!$C$71:$C$790,"&gt;="&amp;'Assumptions &amp; Data'!$C$62)/SUMIFS('Financial Analysis'!$E$71:$E$790,'Financial Analysis'!$B$71:$B$790,$A149,'Financial Analysis'!$C$71:$C$790,"&gt;="&amp;'Assumptions &amp; Data'!$C$62)</f>
        <v>551.996190278878</v>
      </c>
      <c r="BP149" s="40" t="n">
        <f aca="false">(SUMIFS('Financial Analysis'!$I$71:$I$790,'Financial Analysis'!$B$71:$B$790,$A149,'Financial Analysis'!$C$71:$C$790,"&gt;="&amp;'Assumptions &amp; Data'!$C$62)+SUMIFS('Financial Analysis'!$J$71:$J$790,'Financial Analysis'!$B$71:$B$790,$A149,'Financial Analysis'!$C$71:$C$790,"&gt;="&amp;'Assumptions &amp; Data'!$C$62)+SUMIFS('Financial Analysis'!$K$71:$K$790,'Financial Analysis'!$B$71:$B$790,$A149,'Financial Analysis'!$C$71:$C$790,"&gt;="&amp;'Assumptions &amp; Data'!$C$62))/SUMIFS('Financial Analysis'!$E$71:$E$790,'Financial Analysis'!$B$71:$B$790,$A149,'Financial Analysis'!$C$71:$C$790,"&gt;="&amp;'Assumptions &amp; Data'!$C$62)</f>
        <v>113.691921145096</v>
      </c>
      <c r="BQ149" s="40" t="n">
        <f aca="false">SUMIFS('Financial Analysis'!$L$71:$L$790,'Financial Analysis'!$B$71:$B$790,$A149,'Financial Analysis'!$C$71:$C$790,"&gt;="&amp;'Assumptions &amp; Data'!$C$62)/SUMIFS('Financial Analysis'!$E$71:$E$790,'Financial Analysis'!$B$71:$B$790,$A149,'Financial Analysis'!$C$71:$C$790,"&gt;="&amp;'Assumptions &amp; Data'!$C$62)</f>
        <v>15.5538217489549</v>
      </c>
      <c r="BR149" s="40" t="n">
        <f aca="false">SUMIFS('Financial Analysis'!$L$71:$L$790,'Financial Analysis'!$B$71:$B$790,$A149,'Financial Analysis'!$C$71:$C$790,"&gt;="&amp;'Assumptions &amp; Data'!$C$62)/SUMIFS('Financial Analysis'!$E$71:$E$790,'Financial Analysis'!$B$71:$B$790,$A149,'Financial Analysis'!$C$71:$C$790,"&gt;="&amp;'Assumptions &amp; Data'!$C$62)</f>
        <v>15.5538217489549</v>
      </c>
      <c r="BS149" s="40" t="n">
        <f aca="false">SUMIFS('Financial Analysis'!$N$71:$N$790,'Financial Analysis'!$B$71:$B$790,$A149,'Financial Analysis'!$C$71:$C$790,"&gt;="&amp;'Assumptions &amp; Data'!$C$62)/SUMIFS('Financial Analysis'!$E$71:$E$790,'Financial Analysis'!$B$71:$B$790,$A149,'Financial Analysis'!$C$71:$C$790,"&gt;="&amp;'Assumptions &amp; Data'!$C$62)</f>
        <v>40.0156579721514</v>
      </c>
      <c r="BT149" s="40" t="n">
        <f aca="false">(SUMIFS('Financial Analysis'!$O$71:$O$790,'Financial Analysis'!$B$71:$B$790,$A149,'Financial Analysis'!$C$71:$C$790,"&gt;="&amp;'Assumptions &amp; Data'!$C$62)+SUMIFS('Financial Analysis'!$P$71:$P$790,'Financial Analysis'!$B$71:$B$790,$A149,'Financial Analysis'!$C$71:$C$790,"&gt;="&amp;'Assumptions &amp; Data'!$C$62))/SUMIFS('Financial Analysis'!$E$71:$E$790,'Financial Analysis'!$B$71:$B$790,$A149,'Financial Analysis'!$C$71:$C$790,"&gt;="&amp;'Assumptions &amp; Data'!$C$62)</f>
        <v>15.2887069746957</v>
      </c>
      <c r="BU149" s="40" t="n">
        <f aca="false">SUMIFS('Financial Analysis'!$R$71:$R$790,'Financial Analysis'!$B$71:$B$790,$A149,'Financial Analysis'!$C$71:$C$790,"&gt;="&amp;'Assumptions &amp; Data'!$C$62)/SUMIFS('Financial Analysis'!$E$71:$E$790,'Financial Analysis'!$B$71:$B$790,$A149,'Financial Analysis'!$C$71:$C$790,"&gt;="&amp;'Assumptions &amp; Data'!$C$62)</f>
        <v>19.2959796038439</v>
      </c>
      <c r="BV149" s="40" t="n">
        <f aca="false">SUMIFS('Financial Analysis'!$S$71:$S$790,'Financial Analysis'!$B$71:$B$790,$A149,'Financial Analysis'!$C$71:$C$790,"&gt;="&amp;'Assumptions &amp; Data'!$C$62)/SUMIFS('Financial Analysis'!$E$71:$E$790,'Financial Analysis'!$B$71:$B$790,$A149,'Financial Analysis'!$C$71:$C$790,"&gt;="&amp;'Assumptions &amp; Data'!$C$62)</f>
        <v>33.771327711316</v>
      </c>
      <c r="BW149" s="40" t="n">
        <f aca="false">(SUMIFS('Financial Analysis'!$T$71:$T$790,'Financial Analysis'!$B$71:$B$790,$A149,'Financial Analysis'!$C$71:$C$790,"&gt;="&amp;'Assumptions &amp; Data'!$C$62)+SUMIFS('Financial Analysis'!$U$71:$U$790,'Financial Analysis'!$B$71:$B$790,$A149,'Financial Analysis'!$C$71:$C$790,"&gt;="&amp;'Assumptions &amp; Data'!$C$62))/SUMIFS('Financial Analysis'!$E$71:$E$790,'Financial Analysis'!$B$71:$B$790,$A149,'Financial Analysis'!$C$71:$C$790,"&gt;="&amp;'Assumptions &amp; Data'!$C$62)</f>
        <v>18.7887428907629</v>
      </c>
      <c r="BX149" s="40" t="n">
        <f aca="false">SUMIFS('Financial Analysis'!$V$71:$V$790,'Financial Analysis'!$B$71:$B$790,$A149,'Financial Analysis'!$C$71:$C$790,"&gt;="&amp;'Assumptions &amp; Data'!$C$62)/SUMIFS('Financial Analysis'!$E$71:$E$790,'Financial Analysis'!$B$71:$B$790,$A149,'Financial Analysis'!$C$71:$C$790,"&gt;="&amp;'Assumptions &amp; Data'!$C$62)</f>
        <v>-29.0223157566284</v>
      </c>
      <c r="BY149" s="37" t="n">
        <f aca="false">'Assumptions &amp; Data'!J185</f>
        <v>0</v>
      </c>
      <c r="BZ149" s="39" t="str">
        <f aca="false">IF(BK149="Close",COUNTIF($BK$106:BK149,"Close"),"")</f>
        <v/>
      </c>
    </row>
    <row r="150" customFormat="false" ht="15" hidden="false" customHeight="false" outlineLevel="0" collapsed="false">
      <c r="A150" s="48" t="str">
        <f aca="false">'Assumptions &amp; Data'!A186</f>
        <v>DS045</v>
      </c>
      <c r="B150" s="48" t="str">
        <f aca="false">'Assumptions &amp; Data'!B186</f>
        <v>Hyderabad</v>
      </c>
      <c r="C150" s="48" t="str">
        <f aca="false">'Assumptions &amp; Data'!C186</f>
        <v>Peripheral / emerging</v>
      </c>
      <c r="D150" s="37" t="n">
        <f aca="false">'Assumptions &amp; Data'!D186</f>
        <v>19</v>
      </c>
      <c r="E150" s="39" t="n">
        <f aca="false">SUMIFS('Financial Analysis'!$E$71:$E$790,'Financial Analysis'!$B$71:$B$790,$A150,'Financial Analysis'!$C$71:$C$790,"&gt;="&amp;'Assumptions &amp; Data'!$C$62)/'Assumptions &amp; Data'!$C$63</f>
        <v>525.032608695652</v>
      </c>
      <c r="F150" s="40" t="n">
        <f aca="false">SUMIFS('Financial Analysis'!$H$71:$H$790,'Financial Analysis'!$B$71:$B$790,$A150,'Financial Analysis'!$C$71:$C$790,"&gt;="&amp;'Assumptions &amp; Data'!$C$62)/'Assumptions &amp; Data'!$C$85/100000</f>
        <v>91.5193790340667</v>
      </c>
      <c r="G150" s="40" t="n">
        <f aca="false">SUMIFS('Financial Analysis'!$F$71:$F$790,'Financial Analysis'!$B$71:$B$790,$A150,'Financial Analysis'!$C$71:$C$790,"&gt;="&amp;'Assumptions &amp; Data'!$C$62)/SUMIFS('Financial Analysis'!$E$71:$E$790,'Financial Analysis'!$B$71:$B$790,$A150,'Financial Analysis'!$C$71:$C$790,"&gt;="&amp;'Assumptions &amp; Data'!$C$62)</f>
        <v>601.265087054634</v>
      </c>
      <c r="H150" s="49" t="n">
        <f aca="false">SUMIFS('Financial Analysis'!$G$71:$G$790,'Financial Analysis'!$B$71:$B$790,$A150,'Financial Analysis'!$C$71:$C$790,"&gt;="&amp;'Assumptions &amp; Data'!$C$62)/SUMIFS('Financial Analysis'!$F$71:$F$790,'Financial Analysis'!$B$71:$B$790,$A150,'Financial Analysis'!$C$71:$C$790,"&gt;="&amp;'Assumptions &amp; Data'!$C$62)</f>
        <v>0.0546465187681364</v>
      </c>
      <c r="I150" s="49" t="n">
        <f aca="false">SUMIFS('Financial Analysis'!$L$71:$L$790,'Financial Analysis'!$B$71:$B$790,$A150,'Financial Analysis'!$C$71:$C$790,"&gt;="&amp;'Assumptions &amp; Data'!$C$62)/SUMIFS('Financial Analysis'!$H$71:$H$790,'Financial Analysis'!$B$71:$B$790,$A150,'Financial Analysis'!$C$71:$C$790,"&gt;="&amp;'Assumptions &amp; Data'!$C$62)</f>
        <v>0.0230111029905122</v>
      </c>
      <c r="J150" s="40" t="n">
        <f aca="false">SUMIFS('Financial Analysis'!$N$71:$N$790,'Financial Analysis'!$B$71:$B$790,$A150,'Financial Analysis'!$C$71:$C$790,"&gt;="&amp;'Assumptions &amp; Data'!$C$62)/SUMIFS('Financial Analysis'!$E$71:$E$790,'Financial Analysis'!$B$71:$B$790,$A150,'Financial Analysis'!$C$71:$C$790,"&gt;="&amp;'Assumptions &amp; Data'!$C$62)</f>
        <v>40.8595459909322</v>
      </c>
      <c r="K150" s="40" t="n">
        <f aca="false">SUMIFS('Financial Analysis'!$R$71:$R$790,'Financial Analysis'!$B$71:$B$790,$A150,'Financial Analysis'!$C$71:$C$790,"&gt;="&amp;'Assumptions &amp; Data'!$C$62)/AVERAGEIFS('Assumptions &amp; Data'!$M$205:$M$924,'Assumptions &amp; Data'!$B$205:$B$924,$A150,'Assumptions &amp; Data'!$C$205:$C$924,"&gt;="&amp;'Assumptions &amp; Data'!$C$62)/'Assumptions &amp; Data'!$C$85</f>
        <v>16</v>
      </c>
      <c r="L150" s="40" t="n">
        <f aca="false">E150/K150</f>
        <v>32.8145380434783</v>
      </c>
      <c r="M150" s="40" t="n">
        <f aca="false">SUMIFS('Financial Analysis'!$Q$71:$Q$790,'Financial Analysis'!$B$71:$B$790,$A150,'Financial Analysis'!$C$71:$C$790,"&gt;="&amp;'Assumptions &amp; Data'!$C$62)/SUMIFS('Financial Analysis'!$E$71:$E$790,'Financial Analysis'!$B$71:$B$790,$A150,'Financial Analysis'!$C$71:$C$790,"&gt;="&amp;'Assumptions &amp; Data'!$C$62)</f>
        <v>52.293725196859</v>
      </c>
      <c r="N150" s="40" t="n">
        <f aca="false">SUMIFS('Financial Analysis'!$Y$71:$Y$790,'Financial Analysis'!$B$71:$B$790,$A150,'Financial Analysis'!$C$71:$C$790,"&gt;="&amp;'Assumptions &amp; Data'!$C$62)/'Assumptions &amp; Data'!$C$85/100000</f>
        <v>9.08088666666667</v>
      </c>
      <c r="O150" s="40" t="n">
        <f aca="false">SUMIFS('Financial Analysis'!$V$71:$V$790,'Financial Analysis'!$B$71:$B$790,$A150,'Financial Analysis'!$C$71:$C$790,"&gt;="&amp;'Assumptions &amp; Data'!$C$62)/'Assumptions &amp; Data'!$C$85/100000</f>
        <v>-0.6610739727204</v>
      </c>
      <c r="P150" s="49" t="n">
        <f aca="false">O150/F150</f>
        <v>-0.00722332231378367</v>
      </c>
      <c r="Q150" s="39" t="n">
        <f aca="false">IF(M150&gt;0,N150*100000/(M150*'Assumptions &amp; Data'!$C$63/'Assumptions &amp; Data'!$C$85),9999)</f>
        <v>566.255068749632</v>
      </c>
      <c r="R150" s="49" t="n">
        <f aca="false">E150/Q150-1</f>
        <v>-0.0727983948029011</v>
      </c>
      <c r="S150" s="50" t="n">
        <f aca="false">'Assumptions &amp; Data'!E186</f>
        <v>31.8</v>
      </c>
      <c r="T150" s="50" t="n">
        <f aca="false">'Assumptions &amp; Data'!G186</f>
        <v>1.1</v>
      </c>
      <c r="U150" s="49" t="n">
        <f aca="false">MAX(0,('Assumptions &amp; Data'!$C$72-T150)/'Assumptions &amp; Data'!$C$72)*'Assumptions &amp; Data'!$C$73</f>
        <v>0.133333333333333</v>
      </c>
      <c r="V150" s="39" t="n">
        <f aca="false">S150*$B$6*(1-U150)</f>
        <v>981.729248710882</v>
      </c>
      <c r="W150" s="49" t="n">
        <f aca="false">V150/E150-1</f>
        <v>0.869844334335365</v>
      </c>
      <c r="X150" s="39" t="n">
        <f aca="false">IF(D150&gt;='Assumptions &amp; Data'!$C$64,1,0)</f>
        <v>1</v>
      </c>
      <c r="Y150" s="40" t="str">
        <f aca="false">IF(AND(X150=1,T150&gt;='Assumptions &amp; Data'!$C$72),E150/S150,"")</f>
        <v/>
      </c>
      <c r="Z150" s="49" t="n">
        <f aca="false">IF(X150=1,H150,"")</f>
        <v>0.0546465187681364</v>
      </c>
      <c r="AA150" s="49" t="n">
        <f aca="false">IF(X150=1,I150,"")</f>
        <v>0.0230111029905122</v>
      </c>
      <c r="AB150" s="40" t="n">
        <f aca="false">IF(X150=1,J150,"")</f>
        <v>40.8595459909322</v>
      </c>
      <c r="AC150" s="40" t="n">
        <f aca="false">IF(X150=1,L150,"")</f>
        <v>32.8145380434783</v>
      </c>
      <c r="AD150" s="40" t="n">
        <f aca="false">IF(X150=1,AP150/E150*100,"")</f>
        <v>761.857441566777</v>
      </c>
      <c r="AE150" s="40" t="n">
        <f aca="false">IF(X150=1,M150,"")</f>
        <v>52.293725196859</v>
      </c>
      <c r="AF150" s="40" t="n">
        <f aca="false">E150*'Assumptions &amp; Data'!$C$63/'Assumptions &amp; Data'!$C$85*G150/100000</f>
        <v>96.8096916666666</v>
      </c>
      <c r="AG150" s="49" t="n">
        <f aca="false">MAX(0,H150-$B$7)</f>
        <v>0</v>
      </c>
      <c r="AH150" s="40" t="n">
        <f aca="false">AG150*AF150</f>
        <v>0</v>
      </c>
      <c r="AI150" s="40" t="n">
        <f aca="false">AG150*100*E150*'Assumptions &amp; Data'!$C$63/'Assumptions &amp; Data'!$C$85*M150/100000</f>
        <v>0</v>
      </c>
      <c r="AJ150" s="49" t="n">
        <f aca="false">MAX(0,I150-$B$8)</f>
        <v>0.00160650928022513</v>
      </c>
      <c r="AK150" s="40" t="n">
        <f aca="false">AJ150*F150</f>
        <v>0.147026731738669</v>
      </c>
      <c r="AL150" s="40" t="n">
        <f aca="false">MAX(0,K150-E150/$B$10)</f>
        <v>2.24418740655215</v>
      </c>
      <c r="AM150" s="40" t="n">
        <f aca="false">AL150*BN150/K150</f>
        <v>0.441596236611955</v>
      </c>
      <c r="AN150" s="40" t="n">
        <f aca="false">MAX(0,J150-$B$9)</f>
        <v>2.65338939447148</v>
      </c>
      <c r="AO150" s="40" t="n">
        <f aca="false">AN150*E150*'Assumptions &amp; Data'!$C$63/'Assumptions &amp; Data'!$C$85/100000</f>
        <v>0.427222226403853</v>
      </c>
      <c r="AP150" s="37" t="n">
        <f aca="false">'Assumptions &amp; Data'!H186</f>
        <v>4000</v>
      </c>
      <c r="AQ150" s="39" t="n">
        <f aca="false">MIN(AP150,$B$11*E150/100)</f>
        <v>2017.36872636276</v>
      </c>
      <c r="AR150" s="39" t="n">
        <f aca="false">IF(AP150-AQ150&gt;'Assumptions &amp; Data'!$C$78*AP150,AP150-AQ150,0)</f>
        <v>1982.63127363724</v>
      </c>
      <c r="AS150" s="50" t="n">
        <f aca="false">'Assumptions &amp; Data'!I186</f>
        <v>83</v>
      </c>
      <c r="AT150" s="40" t="n">
        <f aca="false">INDEX('Assumptions &amp; Data'!$B$89:$E$94,MATCH(B150,'Assumptions &amp; Data'!$A$89:$A$94,0),MATCH(C150,'Assumptions &amp; Data'!$B$88:$E$88,0))</f>
        <v>73</v>
      </c>
      <c r="AU150" s="39" t="n">
        <f aca="false">IF(BY150&lt;='Assumptions &amp; Data'!$C$79,1,0)</f>
        <v>0</v>
      </c>
      <c r="AV150" s="40" t="n">
        <f aca="false">AU150*(AR150*AS150+MAX(0,AS150-AT150)*(AP150-AR150))/100000</f>
        <v>0</v>
      </c>
      <c r="AW150" s="40" t="n">
        <f aca="false">'Assumptions &amp; Data'!$C$67*(AH150-'Assumptions &amp; Data'!$C$68*AI150+AK150+AM150+AO150+AV150)</f>
        <v>0.609507116852686</v>
      </c>
      <c r="AX150" s="40" t="n">
        <f aca="false">O150+AW150</f>
        <v>-0.0515668558677134</v>
      </c>
      <c r="AY150" s="49" t="n">
        <f aca="false">IF(D150&lt;'Assumptions &amp; Data'!$C$64,'Assumptions &amp; Data'!$C$70,'Assumptions &amp; Data'!$C$69)</f>
        <v>0.5</v>
      </c>
      <c r="AZ150" s="40" t="n">
        <f aca="false">AY150*MAX(0,V150-E150)*'Assumptions &amp; Data'!$C$63/'Assumptions &amp; Data'!$C$85*(M150-'Assumptions &amp; Data'!$C$71)/100000</f>
        <v>2.96169500264039</v>
      </c>
      <c r="BA150" s="40" t="n">
        <f aca="false">AX150+AZ150</f>
        <v>2.91012814677267</v>
      </c>
      <c r="BB150" s="40" t="n">
        <f aca="false">BA150+(1-'Assumptions &amp; Data'!$C$67)*AV150</f>
        <v>2.91012814677267</v>
      </c>
      <c r="BC150" s="48" t="str">
        <f aca="false">'Assumptions &amp; Data'!F186</f>
        <v>DS046</v>
      </c>
      <c r="BD150" s="39" t="n">
        <f aca="false">INDEX('Assumptions &amp; Data'!$K$142:$K$201,MATCH(BC150,'Assumptions &amp; Data'!$A$142:$A$201,0))*'Assumptions &amp; Data'!$C$77</f>
        <v>1134</v>
      </c>
      <c r="BE150" s="39" t="n">
        <f aca="false">MAX(0,BD150-INDEX($E$106:$E$165,MATCH(BC150,$A$106:$A$165,0)))</f>
        <v>0</v>
      </c>
      <c r="BF150" s="39" t="n">
        <f aca="false">IF(T150&lt;='Assumptions &amp; Data'!$C$74,MIN('Assumptions &amp; Data'!$C$76*E150,BE150),0)</f>
        <v>0</v>
      </c>
      <c r="BG150" s="40" t="n">
        <f aca="false">-O150+BF150*'Assumptions &amp; Data'!$C$63/'Assumptions &amp; Data'!$C$85*($B$12-'Assumptions &amp; Data'!$C$71)/100000</f>
        <v>0.6610739727204</v>
      </c>
      <c r="BH150" s="40" t="n">
        <f aca="false">(AS150*AP150*BY150*'Assumptions &amp; Data'!$C$82+K150*(BN150*100000/K150)*'Assumptions &amp; Data'!$C$80*(1-'Assumptions &amp; Data'!$C$81)+AP150*'Assumptions &amp; Data'!$C$83)/100000</f>
        <v>67.393536</v>
      </c>
      <c r="BI150" s="40" t="n">
        <f aca="false">'Assumptions &amp; Data'!L186*MAX(0,1-D150/'Assumptions &amp; Data'!$C$84)</f>
        <v>105.238095238095</v>
      </c>
      <c r="BJ150" s="40" t="n">
        <f aca="false">IF(BG150&gt;0,BH150/BG150,99)</f>
        <v>101.945529216144</v>
      </c>
      <c r="BK150" s="2" t="str">
        <f aca="false">IF(AND(P150&gt;='Assumptions &amp; Data'!$C$65,R150&gt;=0,W150&gt;='Assumptions &amp; Data'!$C$66),"Scale",IF(OR(O150&gt;=0,AX150&gt;=0),"Optimise",IF(BA150&gt;=0,"Turn around",IF(BB150&gt;=0,"Relocate or resize",IF(AND(BF150&gt;0,BJ150&lt;='Assumptions &amp; Data'!$C$75,D150&gt;='Assumptions &amp; Data'!$C$64),"Close","Relocate or resize")))))</f>
        <v>Turn around</v>
      </c>
      <c r="BL150" s="42" t="str">
        <f aca="false">INDEX($BK$106:$BK$165,MATCH(BC150,$A$106:$A$165,0))</f>
        <v>Optimise</v>
      </c>
      <c r="BM150" s="42" t="str">
        <f aca="false">IF(RANK(P150,$P$106:$P$165)&lt;=ROUND(COUNT($P$106:$P$165)/4,0),"Q1 top",IF(RANK(P150,$P$106:$P$165)&gt;COUNT($P$106:$P$165)-ROUND(COUNT($P$106:$P$165)/4,0),"Q4 bottom","Q2-Q3 middle"))</f>
        <v>Q2-Q3 middle</v>
      </c>
      <c r="BN150" s="40" t="n">
        <f aca="false">SUMIFS('Financial Analysis'!$R$71:$R$790,'Financial Analysis'!$B$71:$B$790,$A150,'Financial Analysis'!$C$71:$C$790,"&gt;="&amp;'Assumptions &amp; Data'!$C$62)/'Assumptions &amp; Data'!$C$85/100000</f>
        <v>3.14837333333333</v>
      </c>
      <c r="BO150" s="40" t="n">
        <f aca="false">SUMIFS('Financial Analysis'!$H$71:$H$790,'Financial Analysis'!$B$71:$B$790,$A150,'Financial Analysis'!$C$71:$C$790,"&gt;="&amp;'Assumptions &amp; Data'!$C$62)/SUMIFS('Financial Analysis'!$E$71:$E$790,'Financial Analysis'!$B$71:$B$790,$A150,'Financial Analysis'!$C$71:$C$790,"&gt;="&amp;'Assumptions &amp; Data'!$C$62)</f>
        <v>568.408043190278</v>
      </c>
      <c r="BP150" s="40" t="n">
        <f aca="false">(SUMIFS('Financial Analysis'!$I$71:$I$790,'Financial Analysis'!$B$71:$B$790,$A150,'Financial Analysis'!$C$71:$C$790,"&gt;="&amp;'Assumptions &amp; Data'!$C$62)+SUMIFS('Financial Analysis'!$J$71:$J$790,'Financial Analysis'!$B$71:$B$790,$A150,'Financial Analysis'!$C$71:$C$790,"&gt;="&amp;'Assumptions &amp; Data'!$C$62)+SUMIFS('Financial Analysis'!$K$71:$K$790,'Financial Analysis'!$B$71:$B$790,$A150,'Financial Analysis'!$C$71:$C$790,"&gt;="&amp;'Assumptions &amp; Data'!$C$62))/SUMIFS('Financial Analysis'!$E$71:$E$790,'Financial Analysis'!$B$71:$B$790,$A150,'Financial Analysis'!$C$71:$C$790,"&gt;="&amp;'Assumptions &amp; Data'!$C$62)</f>
        <v>121.891022355454</v>
      </c>
      <c r="BQ150" s="40" t="n">
        <f aca="false">SUMIFS('Financial Analysis'!$L$71:$L$790,'Financial Analysis'!$B$71:$B$790,$A150,'Financial Analysis'!$C$71:$C$790,"&gt;="&amp;'Assumptions &amp; Data'!$C$62)/SUMIFS('Financial Analysis'!$E$71:$E$790,'Financial Analysis'!$B$71:$B$790,$A150,'Financial Analysis'!$C$71:$C$790,"&gt;="&amp;'Assumptions &amp; Data'!$C$62)</f>
        <v>13.079696022487</v>
      </c>
      <c r="BR150" s="40" t="n">
        <f aca="false">SUMIFS('Financial Analysis'!$L$71:$L$790,'Financial Analysis'!$B$71:$B$790,$A150,'Financial Analysis'!$C$71:$C$790,"&gt;="&amp;'Assumptions &amp; Data'!$C$62)/SUMIFS('Financial Analysis'!$E$71:$E$790,'Financial Analysis'!$B$71:$B$790,$A150,'Financial Analysis'!$C$71:$C$790,"&gt;="&amp;'Assumptions &amp; Data'!$C$62)</f>
        <v>13.079696022487</v>
      </c>
      <c r="BS150" s="40" t="n">
        <f aca="false">SUMIFS('Financial Analysis'!$N$71:$N$790,'Financial Analysis'!$B$71:$B$790,$A150,'Financial Analysis'!$C$71:$C$790,"&gt;="&amp;'Assumptions &amp; Data'!$C$62)/SUMIFS('Financial Analysis'!$E$71:$E$790,'Financial Analysis'!$B$71:$B$790,$A150,'Financial Analysis'!$C$71:$C$790,"&gt;="&amp;'Assumptions &amp; Data'!$C$62)</f>
        <v>40.8595459909322</v>
      </c>
      <c r="BT150" s="40" t="n">
        <f aca="false">(SUMIFS('Financial Analysis'!$O$71:$O$790,'Financial Analysis'!$B$71:$B$790,$A150,'Financial Analysis'!$C$71:$C$790,"&gt;="&amp;'Assumptions &amp; Data'!$C$62)+SUMIFS('Financial Analysis'!$P$71:$P$790,'Financial Analysis'!$B$71:$B$790,$A150,'Financial Analysis'!$C$71:$C$790,"&gt;="&amp;'Assumptions &amp; Data'!$C$62))/SUMIFS('Financial Analysis'!$E$71:$E$790,'Financial Analysis'!$B$71:$B$790,$A150,'Financial Analysis'!$C$71:$C$790,"&gt;="&amp;'Assumptions &amp; Data'!$C$62)</f>
        <v>15.6580551451753</v>
      </c>
      <c r="BU150" s="40" t="n">
        <f aca="false">SUMIFS('Financial Analysis'!$R$71:$R$790,'Financial Analysis'!$B$71:$B$790,$A150,'Financial Analysis'!$C$71:$C$790,"&gt;="&amp;'Assumptions &amp; Data'!$C$62)/SUMIFS('Financial Analysis'!$E$71:$E$790,'Financial Analysis'!$B$71:$B$790,$A150,'Financial Analysis'!$C$71:$C$790,"&gt;="&amp;'Assumptions &amp; Data'!$C$62)</f>
        <v>19.5538993437261</v>
      </c>
      <c r="BV150" s="40" t="n">
        <f aca="false">SUMIFS('Financial Analysis'!$S$71:$S$790,'Financial Analysis'!$B$71:$B$790,$A150,'Financial Analysis'!$C$71:$C$790,"&gt;="&amp;'Assumptions &amp; Data'!$C$62)/SUMIFS('Financial Analysis'!$E$71:$E$790,'Financial Analysis'!$B$71:$B$790,$A150,'Financial Analysis'!$C$71:$C$790,"&gt;="&amp;'Assumptions &amp; Data'!$C$62)</f>
        <v>20.6198372771878</v>
      </c>
      <c r="BW150" s="40" t="n">
        <f aca="false">(SUMIFS('Financial Analysis'!$T$71:$T$790,'Financial Analysis'!$B$71:$B$790,$A150,'Financial Analysis'!$C$71:$C$790,"&gt;="&amp;'Assumptions &amp; Data'!$C$62)+SUMIFS('Financial Analysis'!$U$71:$U$790,'Financial Analysis'!$B$71:$B$790,$A150,'Financial Analysis'!$C$71:$C$790,"&gt;="&amp;'Assumptions &amp; Data'!$C$62))/SUMIFS('Financial Analysis'!$E$71:$E$790,'Financial Analysis'!$B$71:$B$790,$A150,'Financial Analysis'!$C$71:$C$790,"&gt;="&amp;'Assumptions &amp; Data'!$C$62)</f>
        <v>16.2257830776556</v>
      </c>
      <c r="BX150" s="40" t="n">
        <f aca="false">SUMIFS('Financial Analysis'!$V$71:$V$790,'Financial Analysis'!$B$71:$B$790,$A150,'Financial Analysis'!$C$71:$C$790,"&gt;="&amp;'Assumptions &amp; Data'!$C$62)/SUMIFS('Financial Analysis'!$E$71:$E$790,'Financial Analysis'!$B$71:$B$790,$A150,'Financial Analysis'!$C$71:$C$790,"&gt;="&amp;'Assumptions &amp; Data'!$C$62)</f>
        <v>-4.10579450171045</v>
      </c>
      <c r="BY150" s="37" t="n">
        <f aca="false">'Assumptions &amp; Data'!J186</f>
        <v>36</v>
      </c>
      <c r="BZ150" s="39" t="str">
        <f aca="false">IF(BK150="Close",COUNTIF($BK$106:BK150,"Close"),"")</f>
        <v/>
      </c>
    </row>
    <row r="151" customFormat="false" ht="15" hidden="false" customHeight="false" outlineLevel="0" collapsed="false">
      <c r="A151" s="48" t="str">
        <f aca="false">'Assumptions &amp; Data'!A187</f>
        <v>DS046</v>
      </c>
      <c r="B151" s="48" t="str">
        <f aca="false">'Assumptions &amp; Data'!B187</f>
        <v>Hyderabad</v>
      </c>
      <c r="C151" s="48" t="str">
        <f aca="false">'Assumptions &amp; Data'!C187</f>
        <v>Dense residential</v>
      </c>
      <c r="D151" s="37" t="n">
        <f aca="false">'Assumptions &amp; Data'!D187</f>
        <v>20</v>
      </c>
      <c r="E151" s="39" t="n">
        <f aca="false">SUMIFS('Financial Analysis'!$E$71:$E$790,'Financial Analysis'!$B$71:$B$790,$A151,'Financial Analysis'!$C$71:$C$790,"&gt;="&amp;'Assumptions &amp; Data'!$C$62)/'Assumptions &amp; Data'!$C$63</f>
        <v>1231.03260869565</v>
      </c>
      <c r="F151" s="40" t="n">
        <f aca="false">SUMIFS('Financial Analysis'!$H$71:$H$790,'Financial Analysis'!$B$71:$B$790,$A151,'Financial Analysis'!$C$71:$C$790,"&gt;="&amp;'Assumptions &amp; Data'!$C$62)/'Assumptions &amp; Data'!$C$85/100000</f>
        <v>236.3583346693</v>
      </c>
      <c r="G151" s="40" t="n">
        <f aca="false">SUMIFS('Financial Analysis'!$F$71:$F$790,'Financial Analysis'!$B$71:$B$790,$A151,'Financial Analysis'!$C$71:$C$790,"&gt;="&amp;'Assumptions &amp; Data'!$C$62)/SUMIFS('Financial Analysis'!$E$71:$E$790,'Financial Analysis'!$B$71:$B$790,$A151,'Financial Analysis'!$C$71:$C$790,"&gt;="&amp;'Assumptions &amp; Data'!$C$62)</f>
        <v>660.542482892588</v>
      </c>
      <c r="H151" s="49" t="n">
        <f aca="false">SUMIFS('Financial Analysis'!$G$71:$G$790,'Financial Analysis'!$B$71:$B$790,$A151,'Financial Analysis'!$C$71:$C$790,"&gt;="&amp;'Assumptions &amp; Data'!$C$62)/SUMIFS('Financial Analysis'!$F$71:$F$790,'Financial Analysis'!$B$71:$B$790,$A151,'Financial Analysis'!$C$71:$C$790,"&gt;="&amp;'Assumptions &amp; Data'!$C$62)</f>
        <v>0.052162172420174</v>
      </c>
      <c r="I151" s="49" t="n">
        <f aca="false">SUMIFS('Financial Analysis'!$L$71:$L$790,'Financial Analysis'!$B$71:$B$790,$A151,'Financial Analysis'!$C$71:$C$790,"&gt;="&amp;'Assumptions &amp; Data'!$C$62)/SUMIFS('Financial Analysis'!$H$71:$H$790,'Financial Analysis'!$B$71:$B$790,$A151,'Financial Analysis'!$C$71:$C$790,"&gt;="&amp;'Assumptions &amp; Data'!$C$62)</f>
        <v>0.0285354916535184</v>
      </c>
      <c r="J151" s="40" t="n">
        <f aca="false">SUMIFS('Financial Analysis'!$N$71:$N$790,'Financial Analysis'!$B$71:$B$790,$A151,'Financial Analysis'!$C$71:$C$790,"&gt;="&amp;'Assumptions &amp; Data'!$C$62)/SUMIFS('Financial Analysis'!$E$71:$E$790,'Financial Analysis'!$B$71:$B$790,$A151,'Financial Analysis'!$C$71:$C$790,"&gt;="&amp;'Assumptions &amp; Data'!$C$62)</f>
        <v>38.6184078407134</v>
      </c>
      <c r="K151" s="40" t="n">
        <f aca="false">SUMIFS('Financial Analysis'!$R$71:$R$790,'Financial Analysis'!$B$71:$B$790,$A151,'Financial Analysis'!$C$71:$C$790,"&gt;="&amp;'Assumptions &amp; Data'!$C$62)/AVERAGEIFS('Assumptions &amp; Data'!$M$205:$M$924,'Assumptions &amp; Data'!$B$205:$B$924,$A151,'Assumptions &amp; Data'!$C$205:$C$924,"&gt;="&amp;'Assumptions &amp; Data'!$C$62)/'Assumptions &amp; Data'!$C$85</f>
        <v>26.3330397072774</v>
      </c>
      <c r="L151" s="40" t="n">
        <f aca="false">E151/K151</f>
        <v>46.7485950114389</v>
      </c>
      <c r="M151" s="40" t="n">
        <f aca="false">SUMIFS('Financial Analysis'!$Q$71:$Q$790,'Financial Analysis'!$B$71:$B$790,$A151,'Financial Analysis'!$C$71:$C$790,"&gt;="&amp;'Assumptions &amp; Data'!$C$62)/SUMIFS('Financial Analysis'!$E$71:$E$790,'Financial Analysis'!$B$71:$B$790,$A151,'Financial Analysis'!$C$71:$C$790,"&gt;="&amp;'Assumptions &amp; Data'!$C$62)</f>
        <v>65.4884292319407</v>
      </c>
      <c r="N151" s="40" t="n">
        <f aca="false">SUMIFS('Financial Analysis'!$Y$71:$Y$790,'Financial Analysis'!$B$71:$B$790,$A151,'Financial Analysis'!$C$71:$C$790,"&gt;="&amp;'Assumptions &amp; Data'!$C$62)/'Assumptions &amp; Data'!$C$85/100000</f>
        <v>12.7855766666667</v>
      </c>
      <c r="O151" s="40" t="n">
        <f aca="false">SUMIFS('Financial Analysis'!$V$71:$V$790,'Financial Analysis'!$B$71:$B$790,$A151,'Financial Analysis'!$C$71:$C$790,"&gt;="&amp;'Assumptions &amp; Data'!$C$62)/'Assumptions &amp; Data'!$C$85/100000</f>
        <v>11.9373968422115</v>
      </c>
      <c r="P151" s="49" t="n">
        <f aca="false">O151/F151</f>
        <v>0.0505055041063547</v>
      </c>
      <c r="Q151" s="39" t="n">
        <f aca="false">IF(M151&gt;0,N151*100000/(M151*'Assumptions &amp; Data'!$C$63/'Assumptions &amp; Data'!$C$85),9999)</f>
        <v>636.63304060059</v>
      </c>
      <c r="R151" s="49" t="n">
        <f aca="false">E151/Q151-1</f>
        <v>0.933661199133358</v>
      </c>
      <c r="S151" s="50" t="n">
        <f aca="false">'Assumptions &amp; Data'!E187</f>
        <v>42.5</v>
      </c>
      <c r="T151" s="50" t="n">
        <f aca="false">'Assumptions &amp; Data'!G187</f>
        <v>1.1</v>
      </c>
      <c r="U151" s="49" t="n">
        <f aca="false">MAX(0,('Assumptions &amp; Data'!$C$72-T151)/'Assumptions &amp; Data'!$C$72)*'Assumptions &amp; Data'!$C$73</f>
        <v>0.133333333333333</v>
      </c>
      <c r="V151" s="39" t="n">
        <f aca="false">S151*$B$6*(1-U151)</f>
        <v>1312.05953050983</v>
      </c>
      <c r="W151" s="49" t="n">
        <f aca="false">V151/E151-1</f>
        <v>0.065820288789934</v>
      </c>
      <c r="X151" s="39" t="n">
        <f aca="false">IF(D151&gt;='Assumptions &amp; Data'!$C$64,1,0)</f>
        <v>1</v>
      </c>
      <c r="Y151" s="40" t="str">
        <f aca="false">IF(AND(X151=1,T151&gt;='Assumptions &amp; Data'!$C$72),E151/S151,"")</f>
        <v/>
      </c>
      <c r="Z151" s="49" t="n">
        <f aca="false">IF(X151=1,H151,"")</f>
        <v>0.052162172420174</v>
      </c>
      <c r="AA151" s="49" t="n">
        <f aca="false">IF(X151=1,I151,"")</f>
        <v>0.0285354916535184</v>
      </c>
      <c r="AB151" s="40" t="n">
        <f aca="false">IF(X151=1,J151,"")</f>
        <v>38.6184078407134</v>
      </c>
      <c r="AC151" s="40" t="n">
        <f aca="false">IF(X151=1,L151,"")</f>
        <v>46.7485950114389</v>
      </c>
      <c r="AD151" s="40" t="n">
        <f aca="false">IF(X151=1,AP151/E151*100,"")</f>
        <v>284.314158315306</v>
      </c>
      <c r="AE151" s="40" t="n">
        <f aca="false">IF(X151=1,M151,"")</f>
        <v>65.4884292319407</v>
      </c>
      <c r="AF151" s="40" t="n">
        <f aca="false">E151*'Assumptions &amp; Data'!$C$63/'Assumptions &amp; Data'!$C$85*G151/100000</f>
        <v>249.365796333333</v>
      </c>
      <c r="AG151" s="49" t="n">
        <f aca="false">MAX(0,H151-$B$7)</f>
        <v>0</v>
      </c>
      <c r="AH151" s="40" t="n">
        <f aca="false">AG151*AF151</f>
        <v>0</v>
      </c>
      <c r="AI151" s="40" t="n">
        <f aca="false">AG151*100*E151*'Assumptions &amp; Data'!$C$63/'Assumptions &amp; Data'!$C$85*M151/100000</f>
        <v>0</v>
      </c>
      <c r="AJ151" s="49" t="n">
        <f aca="false">MAX(0,I151-$B$8)</f>
        <v>0.0071308979432313</v>
      </c>
      <c r="AK151" s="40" t="n">
        <f aca="false">AJ151*F151</f>
        <v>1.68544716255889</v>
      </c>
      <c r="AL151" s="40" t="n">
        <f aca="false">MAX(0,K151-E151/$B$10)</f>
        <v>0</v>
      </c>
      <c r="AM151" s="40" t="n">
        <f aca="false">AL151*BN151/K151</f>
        <v>0</v>
      </c>
      <c r="AN151" s="40" t="n">
        <f aca="false">MAX(0,J151-$B$9)</f>
        <v>0.41225124425268</v>
      </c>
      <c r="AO151" s="40" t="n">
        <f aca="false">AN151*E151*'Assumptions &amp; Data'!$C$63/'Assumptions &amp; Data'!$C$85/100000</f>
        <v>0.155631715559458</v>
      </c>
      <c r="AP151" s="37" t="n">
        <f aca="false">'Assumptions &amp; Data'!H187</f>
        <v>3500</v>
      </c>
      <c r="AQ151" s="39" t="n">
        <f aca="false">MIN(AP151,$B$11*E151/100)</f>
        <v>3500</v>
      </c>
      <c r="AR151" s="39" t="n">
        <f aca="false">IF(AP151-AQ151&gt;'Assumptions &amp; Data'!$C$78*AP151,AP151-AQ151,0)</f>
        <v>0</v>
      </c>
      <c r="AS151" s="50" t="n">
        <f aca="false">'Assumptions &amp; Data'!I187</f>
        <v>111</v>
      </c>
      <c r="AT151" s="40" t="n">
        <f aca="false">INDEX('Assumptions &amp; Data'!$B$89:$E$94,MATCH(B151,'Assumptions &amp; Data'!$A$89:$A$94,0),MATCH(C151,'Assumptions &amp; Data'!$B$88:$E$88,0))</f>
        <v>104</v>
      </c>
      <c r="AU151" s="39" t="n">
        <f aca="false">IF(BY151&lt;='Assumptions &amp; Data'!$C$79,1,0)</f>
        <v>1</v>
      </c>
      <c r="AV151" s="40" t="n">
        <f aca="false">AU151*(AR151*AS151+MAX(0,AS151-AT151)*(AP151-AR151))/100000</f>
        <v>0.245</v>
      </c>
      <c r="AW151" s="40" t="n">
        <f aca="false">'Assumptions &amp; Data'!$C$67*(AH151-'Assumptions &amp; Data'!$C$68*AI151+AK151+AM151+AO151+AV151)</f>
        <v>1.25164732687101</v>
      </c>
      <c r="AX151" s="40" t="n">
        <f aca="false">O151+AW151</f>
        <v>13.1890441690825</v>
      </c>
      <c r="AY151" s="49" t="n">
        <f aca="false">IF(D151&lt;'Assumptions &amp; Data'!$C$64,'Assumptions &amp; Data'!$C$70,'Assumptions &amp; Data'!$C$69)</f>
        <v>0.5</v>
      </c>
      <c r="AZ151" s="40" t="n">
        <f aca="false">AY151*MAX(0,V151-E151)*'Assumptions &amp; Data'!$C$63/'Assumptions &amp; Data'!$C$85*(M151-'Assumptions &amp; Data'!$C$71)/100000</f>
        <v>0.689395347935058</v>
      </c>
      <c r="BA151" s="40" t="n">
        <f aca="false">AX151+AZ151</f>
        <v>13.8784395170175</v>
      </c>
      <c r="BB151" s="40" t="n">
        <f aca="false">BA151+(1-'Assumptions &amp; Data'!$C$67)*AV151</f>
        <v>13.9764395170175</v>
      </c>
      <c r="BC151" s="48" t="str">
        <f aca="false">'Assumptions &amp; Data'!F187</f>
        <v>DS045</v>
      </c>
      <c r="BD151" s="39" t="n">
        <f aca="false">INDEX('Assumptions &amp; Data'!$K$142:$K$201,MATCH(BC151,'Assumptions &amp; Data'!$A$142:$A$201,0))*'Assumptions &amp; Data'!$C$77</f>
        <v>1296</v>
      </c>
      <c r="BE151" s="39" t="n">
        <f aca="false">MAX(0,BD151-INDEX($E$106:$E$165,MATCH(BC151,$A$106:$A$165,0)))</f>
        <v>770.967391304348</v>
      </c>
      <c r="BF151" s="39" t="n">
        <f aca="false">IF(T151&lt;='Assumptions &amp; Data'!$C$74,MIN('Assumptions &amp; Data'!$C$76*E151,BE151),0)</f>
        <v>738.619565217391</v>
      </c>
      <c r="BG151" s="40" t="n">
        <f aca="false">-O151+BF151*'Assumptions &amp; Data'!$C$63/'Assumptions &amp; Data'!$C$85*($B$12-'Assumptions &amp; Data'!$C$71)/100000</f>
        <v>0.461088527098049</v>
      </c>
      <c r="BH151" s="40" t="n">
        <f aca="false">(AS151*AP151*BY151*'Assumptions &amp; Data'!$C$82+K151*(BN151*100000/K151)*'Assumptions &amp; Data'!$C$80*(1-'Assumptions &amp; Data'!$C$81)+AP151*'Assumptions &amp; Data'!$C$83)/100000</f>
        <v>32.173476</v>
      </c>
      <c r="BI151" s="40" t="n">
        <f aca="false">'Assumptions &amp; Data'!L187*MAX(0,1-D151/'Assumptions &amp; Data'!$C$84)</f>
        <v>90.6666666666667</v>
      </c>
      <c r="BJ151" s="40" t="n">
        <f aca="false">IF(BG151&gt;0,BH151/BG151,99)</f>
        <v>69.7772208787976</v>
      </c>
      <c r="BK151" s="2" t="str">
        <f aca="false">IF(AND(P151&gt;='Assumptions &amp; Data'!$C$65,R151&gt;=0,W151&gt;='Assumptions &amp; Data'!$C$66),"Scale",IF(OR(O151&gt;=0,AX151&gt;=0),"Optimise",IF(BA151&gt;=0,"Turn around",IF(BB151&gt;=0,"Relocate or resize",IF(AND(BF151&gt;0,BJ151&lt;='Assumptions &amp; Data'!$C$75,D151&gt;='Assumptions &amp; Data'!$C$64),"Close","Relocate or resize")))))</f>
        <v>Optimise</v>
      </c>
      <c r="BL151" s="42" t="str">
        <f aca="false">INDEX($BK$106:$BK$165,MATCH(BC151,$A$106:$A$165,0))</f>
        <v>Turn around</v>
      </c>
      <c r="BM151" s="42" t="str">
        <f aca="false">IF(RANK(P151,$P$106:$P$165)&lt;=ROUND(COUNT($P$106:$P$165)/4,0),"Q1 top",IF(RANK(P151,$P$106:$P$165)&gt;COUNT($P$106:$P$165)-ROUND(COUNT($P$106:$P$165)/4,0),"Q4 bottom","Q2-Q3 middle"))</f>
        <v>Q1 top</v>
      </c>
      <c r="BN151" s="40" t="n">
        <f aca="false">SUMIFS('Financial Analysis'!$R$71:$R$790,'Financial Analysis'!$B$71:$B$790,$A151,'Financial Analysis'!$C$71:$C$790,"&gt;="&amp;'Assumptions &amp; Data'!$C$62)/'Assumptions &amp; Data'!$C$85/100000</f>
        <v>5.18164</v>
      </c>
      <c r="BO151" s="40" t="n">
        <f aca="false">SUMIFS('Financial Analysis'!$H$71:$H$790,'Financial Analysis'!$B$71:$B$790,$A151,'Financial Analysis'!$C$71:$C$790,"&gt;="&amp;'Assumptions &amp; Data'!$C$62)/SUMIFS('Financial Analysis'!$E$71:$E$790,'Financial Analysis'!$B$71:$B$790,$A151,'Financial Analysis'!$C$71:$C$790,"&gt;="&amp;'Assumptions &amp; Data'!$C$62)</f>
        <v>626.087152009095</v>
      </c>
      <c r="BP151" s="40" t="n">
        <f aca="false">(SUMIFS('Financial Analysis'!$I$71:$I$790,'Financial Analysis'!$B$71:$B$790,$A151,'Financial Analysis'!$C$71:$C$790,"&gt;="&amp;'Assumptions &amp; Data'!$C$62)+SUMIFS('Financial Analysis'!$J$71:$J$790,'Financial Analysis'!$B$71:$B$790,$A151,'Financial Analysis'!$C$71:$C$790,"&gt;="&amp;'Assumptions &amp; Data'!$C$62)+SUMIFS('Financial Analysis'!$K$71:$K$790,'Financial Analysis'!$B$71:$B$790,$A151,'Financial Analysis'!$C$71:$C$790,"&gt;="&amp;'Assumptions &amp; Data'!$C$62))/SUMIFS('Financial Analysis'!$E$71:$E$790,'Financial Analysis'!$B$71:$B$790,$A151,'Financial Analysis'!$C$71:$C$790,"&gt;="&amp;'Assumptions &amp; Data'!$C$62)</f>
        <v>138.18352230361</v>
      </c>
      <c r="BQ151" s="40" t="n">
        <f aca="false">SUMIFS('Financial Analysis'!$L$71:$L$790,'Financial Analysis'!$B$71:$B$790,$A151,'Financial Analysis'!$C$71:$C$790,"&gt;="&amp;'Assumptions &amp; Data'!$C$62)/SUMIFS('Financial Analysis'!$E$71:$E$790,'Financial Analysis'!$B$71:$B$790,$A151,'Financial Analysis'!$C$71:$C$790,"&gt;="&amp;'Assumptions &amp; Data'!$C$62)</f>
        <v>17.8657047005306</v>
      </c>
      <c r="BR151" s="40" t="n">
        <f aca="false">SUMIFS('Financial Analysis'!$L$71:$L$790,'Financial Analysis'!$B$71:$B$790,$A151,'Financial Analysis'!$C$71:$C$790,"&gt;="&amp;'Assumptions &amp; Data'!$C$62)/SUMIFS('Financial Analysis'!$E$71:$E$790,'Financial Analysis'!$B$71:$B$790,$A151,'Financial Analysis'!$C$71:$C$790,"&gt;="&amp;'Assumptions &amp; Data'!$C$62)</f>
        <v>17.8657047005306</v>
      </c>
      <c r="BS151" s="40" t="n">
        <f aca="false">SUMIFS('Financial Analysis'!$N$71:$N$790,'Financial Analysis'!$B$71:$B$790,$A151,'Financial Analysis'!$C$71:$C$790,"&gt;="&amp;'Assumptions &amp; Data'!$C$62)/SUMIFS('Financial Analysis'!$E$71:$E$790,'Financial Analysis'!$B$71:$B$790,$A151,'Financial Analysis'!$C$71:$C$790,"&gt;="&amp;'Assumptions &amp; Data'!$C$62)</f>
        <v>38.6184078407134</v>
      </c>
      <c r="BT151" s="40" t="n">
        <f aca="false">(SUMIFS('Financial Analysis'!$O$71:$O$790,'Financial Analysis'!$B$71:$B$790,$A151,'Financial Analysis'!$C$71:$C$790,"&gt;="&amp;'Assumptions &amp; Data'!$C$62)+SUMIFS('Financial Analysis'!$P$71:$P$790,'Financial Analysis'!$B$71:$B$790,$A151,'Financial Analysis'!$C$71:$C$790,"&gt;="&amp;'Assumptions &amp; Data'!$C$62))/SUMIFS('Financial Analysis'!$E$71:$E$790,'Financial Analysis'!$B$71:$B$790,$A151,'Financial Analysis'!$C$71:$C$790,"&gt;="&amp;'Assumptions &amp; Data'!$C$62)</f>
        <v>16.2109805304249</v>
      </c>
      <c r="BU151" s="40" t="n">
        <f aca="false">SUMIFS('Financial Analysis'!$R$71:$R$790,'Financial Analysis'!$B$71:$B$790,$A151,'Financial Analysis'!$C$71:$C$790,"&gt;="&amp;'Assumptions &amp; Data'!$C$62)/SUMIFS('Financial Analysis'!$E$71:$E$790,'Financial Analysis'!$B$71:$B$790,$A151,'Financial Analysis'!$C$71:$C$790,"&gt;="&amp;'Assumptions &amp; Data'!$C$62)</f>
        <v>13.7255926890645</v>
      </c>
      <c r="BV151" s="40" t="n">
        <f aca="false">SUMIFS('Financial Analysis'!$S$71:$S$790,'Financial Analysis'!$B$71:$B$790,$A151,'Financial Analysis'!$C$71:$C$790,"&gt;="&amp;'Assumptions &amp; Data'!$C$62)/SUMIFS('Financial Analysis'!$E$71:$E$790,'Financial Analysis'!$B$71:$B$790,$A151,'Financial Analysis'!$C$71:$C$790,"&gt;="&amp;'Assumptions &amp; Data'!$C$62)</f>
        <v>10.2909363824997</v>
      </c>
      <c r="BW151" s="40" t="n">
        <f aca="false">(SUMIFS('Financial Analysis'!$T$71:$T$790,'Financial Analysis'!$B$71:$B$790,$A151,'Financial Analysis'!$C$71:$C$790,"&gt;="&amp;'Assumptions &amp; Data'!$C$62)+SUMIFS('Financial Analysis'!$U$71:$U$790,'Financial Analysis'!$B$71:$B$790,$A151,'Financial Analysis'!$C$71:$C$790,"&gt;="&amp;'Assumptions &amp; Data'!$C$62))/SUMIFS('Financial Analysis'!$E$71:$E$790,'Financial Analysis'!$B$71:$B$790,$A151,'Financial Analysis'!$C$71:$C$790,"&gt;="&amp;'Assumptions &amp; Data'!$C$62)</f>
        <v>9.85105293364531</v>
      </c>
      <c r="BX151" s="40" t="n">
        <f aca="false">SUMIFS('Financial Analysis'!$V$71:$V$790,'Financial Analysis'!$B$71:$B$790,$A151,'Financial Analysis'!$C$71:$C$790,"&gt;="&amp;'Assumptions &amp; Data'!$C$62)/SUMIFS('Financial Analysis'!$E$71:$E$790,'Financial Analysis'!$B$71:$B$790,$A151,'Financial Analysis'!$C$71:$C$790,"&gt;="&amp;'Assumptions &amp; Data'!$C$62)</f>
        <v>31.6208472267312</v>
      </c>
      <c r="BY151" s="37" t="n">
        <f aca="false">'Assumptions &amp; Data'!J187</f>
        <v>12</v>
      </c>
      <c r="BZ151" s="39" t="str">
        <f aca="false">IF(BK151="Close",COUNTIF($BK$106:BK151,"Close"),"")</f>
        <v/>
      </c>
    </row>
    <row r="152" customFormat="false" ht="15" hidden="false" customHeight="false" outlineLevel="0" collapsed="false">
      <c r="A152" s="48" t="str">
        <f aca="false">'Assumptions &amp; Data'!A188</f>
        <v>DS047</v>
      </c>
      <c r="B152" s="48" t="str">
        <f aca="false">'Assumptions &amp; Data'!B188</f>
        <v>Pune</v>
      </c>
      <c r="C152" s="48" t="str">
        <f aca="false">'Assumptions &amp; Data'!C188</f>
        <v>Commercial / office</v>
      </c>
      <c r="D152" s="37" t="n">
        <f aca="false">'Assumptions &amp; Data'!D188</f>
        <v>32</v>
      </c>
      <c r="E152" s="39" t="n">
        <f aca="false">SUMIFS('Financial Analysis'!$E$71:$E$790,'Financial Analysis'!$B$71:$B$790,$A152,'Financial Analysis'!$C$71:$C$790,"&gt;="&amp;'Assumptions &amp; Data'!$C$62)/'Assumptions &amp; Data'!$C$63</f>
        <v>1300.45652173913</v>
      </c>
      <c r="F152" s="40" t="n">
        <f aca="false">SUMIFS('Financial Analysis'!$H$71:$H$790,'Financial Analysis'!$B$71:$B$790,$A152,'Financial Analysis'!$C$71:$C$790,"&gt;="&amp;'Assumptions &amp; Data'!$C$62)/'Assumptions &amp; Data'!$C$85/100000</f>
        <v>216.2124559901</v>
      </c>
      <c r="G152" s="40" t="n">
        <f aca="false">SUMIFS('Financial Analysis'!$F$71:$F$790,'Financial Analysis'!$B$71:$B$790,$A152,'Financial Analysis'!$C$71:$C$790,"&gt;="&amp;'Assumptions &amp; Data'!$C$62)/SUMIFS('Financial Analysis'!$E$71:$E$790,'Financial Analysis'!$B$71:$B$790,$A152,'Financial Analysis'!$C$71:$C$790,"&gt;="&amp;'Assumptions &amp; Data'!$C$62)</f>
        <v>580.055569950352</v>
      </c>
      <c r="H152" s="49" t="n">
        <f aca="false">SUMIFS('Financial Analysis'!$G$71:$G$790,'Financial Analysis'!$B$71:$B$790,$A152,'Financial Analysis'!$C$71:$C$790,"&gt;="&amp;'Assumptions &amp; Data'!$C$62)/SUMIFS('Financial Analysis'!$F$71:$F$790,'Financial Analysis'!$B$71:$B$790,$A152,'Financial Analysis'!$C$71:$C$790,"&gt;="&amp;'Assumptions &amp; Data'!$C$62)</f>
        <v>0.0653506700022955</v>
      </c>
      <c r="I152" s="49" t="n">
        <f aca="false">SUMIFS('Financial Analysis'!$L$71:$L$790,'Financial Analysis'!$B$71:$B$790,$A152,'Financial Analysis'!$C$71:$C$790,"&gt;="&amp;'Assumptions &amp; Data'!$C$62)/SUMIFS('Financial Analysis'!$H$71:$H$790,'Financial Analysis'!$B$71:$B$790,$A152,'Financial Analysis'!$C$71:$C$790,"&gt;="&amp;'Assumptions &amp; Data'!$C$62)</f>
        <v>0.0177066587960503</v>
      </c>
      <c r="J152" s="40" t="n">
        <f aca="false">SUMIFS('Financial Analysis'!$N$71:$N$790,'Financial Analysis'!$B$71:$B$790,$A152,'Financial Analysis'!$C$71:$C$790,"&gt;="&amp;'Assumptions &amp; Data'!$C$62)/SUMIFS('Financial Analysis'!$E$71:$E$790,'Financial Analysis'!$B$71:$B$790,$A152,'Financial Analysis'!$C$71:$C$790,"&gt;="&amp;'Assumptions &amp; Data'!$C$62)</f>
        <v>36.3997011083064</v>
      </c>
      <c r="K152" s="40" t="n">
        <f aca="false">SUMIFS('Financial Analysis'!$R$71:$R$790,'Financial Analysis'!$B$71:$B$790,$A152,'Financial Analysis'!$C$71:$C$790,"&gt;="&amp;'Assumptions &amp; Data'!$C$62)/AVERAGEIFS('Assumptions &amp; Data'!$M$205:$M$924,'Assumptions &amp; Data'!$B$205:$B$924,$A152,'Assumptions &amp; Data'!$C$205:$C$924,"&gt;="&amp;'Assumptions &amp; Data'!$C$62)/'Assumptions &amp; Data'!$C$85</f>
        <v>28.999712020599</v>
      </c>
      <c r="L152" s="40" t="n">
        <f aca="false">E152/K152</f>
        <v>44.8437736490415</v>
      </c>
      <c r="M152" s="40" t="n">
        <f aca="false">SUMIFS('Financial Analysis'!$Q$71:$Q$790,'Financial Analysis'!$B$71:$B$790,$A152,'Financial Analysis'!$C$71:$C$790,"&gt;="&amp;'Assumptions &amp; Data'!$C$62)/SUMIFS('Financial Analysis'!$E$71:$E$790,'Financial Analysis'!$B$71:$B$790,$A152,'Financial Analysis'!$C$71:$C$790,"&gt;="&amp;'Assumptions &amp; Data'!$C$62)</f>
        <v>60.307273692074</v>
      </c>
      <c r="N152" s="40" t="n">
        <f aca="false">SUMIFS('Financial Analysis'!$Y$71:$Y$790,'Financial Analysis'!$B$71:$B$790,$A152,'Financial Analysis'!$C$71:$C$790,"&gt;="&amp;'Assumptions &amp; Data'!$C$62)/'Assumptions &amp; Data'!$C$85/100000</f>
        <v>16.77714</v>
      </c>
      <c r="O152" s="40" t="n">
        <f aca="false">SUMIFS('Financial Analysis'!$V$71:$V$790,'Financial Analysis'!$B$71:$B$790,$A152,'Financial Analysis'!$C$71:$C$790,"&gt;="&amp;'Assumptions &amp; Data'!$C$62)/'Assumptions &amp; Data'!$C$85/100000</f>
        <v>7.27380279689041</v>
      </c>
      <c r="P152" s="49" t="n">
        <f aca="false">O152/F152</f>
        <v>0.0336419230038415</v>
      </c>
      <c r="Q152" s="39" t="n">
        <f aca="false">IF(M152&gt;0,N152*100000/(M152*'Assumptions &amp; Data'!$C$63/'Assumptions &amp; Data'!$C$85),9999)</f>
        <v>907.155337459425</v>
      </c>
      <c r="R152" s="49" t="n">
        <f aca="false">E152/Q152-1</f>
        <v>0.433554395855933</v>
      </c>
      <c r="S152" s="50" t="n">
        <f aca="false">'Assumptions &amp; Data'!E188</f>
        <v>50.3</v>
      </c>
      <c r="T152" s="50" t="n">
        <f aca="false">'Assumptions &amp; Data'!G188</f>
        <v>3.3</v>
      </c>
      <c r="U152" s="49" t="n">
        <f aca="false">MAX(0,('Assumptions &amp; Data'!$C$72-T152)/'Assumptions &amp; Data'!$C$72)*'Assumptions &amp; Data'!$C$73</f>
        <v>0</v>
      </c>
      <c r="V152" s="39" t="n">
        <f aca="false">S152*$B$6*(1-U152)</f>
        <v>1791.7627434745</v>
      </c>
      <c r="W152" s="49" t="n">
        <f aca="false">V152/E152-1</f>
        <v>0.377795192320877</v>
      </c>
      <c r="X152" s="39" t="n">
        <f aca="false">IF(D152&gt;='Assumptions &amp; Data'!$C$64,1,0)</f>
        <v>1</v>
      </c>
      <c r="Y152" s="40" t="n">
        <f aca="false">IF(AND(X152=1,T152&gt;='Assumptions &amp; Data'!$C$72),E152/S152,"")</f>
        <v>25.8540063964042</v>
      </c>
      <c r="Z152" s="49" t="n">
        <f aca="false">IF(X152=1,H152,"")</f>
        <v>0.0653506700022955</v>
      </c>
      <c r="AA152" s="49" t="n">
        <f aca="false">IF(X152=1,I152,"")</f>
        <v>0.0177066587960503</v>
      </c>
      <c r="AB152" s="40" t="n">
        <f aca="false">IF(X152=1,J152,"")</f>
        <v>36.3997011083064</v>
      </c>
      <c r="AC152" s="40" t="n">
        <f aca="false">IF(X152=1,L152,"")</f>
        <v>44.8437736490415</v>
      </c>
      <c r="AD152" s="40" t="n">
        <f aca="false">IF(X152=1,AP152/E152*100,"")</f>
        <v>384.480366426506</v>
      </c>
      <c r="AE152" s="40" t="n">
        <f aca="false">IF(X152=1,M152,"")</f>
        <v>60.307273692074</v>
      </c>
      <c r="AF152" s="40" t="n">
        <f aca="false">E152*'Assumptions &amp; Data'!$C$63/'Assumptions &amp; Data'!$C$85*G152/100000</f>
        <v>231.330028333333</v>
      </c>
      <c r="AG152" s="49" t="n">
        <f aca="false">MAX(0,H152-$B$7)</f>
        <v>0.0105455699990387</v>
      </c>
      <c r="AH152" s="40" t="n">
        <f aca="false">AG152*AF152</f>
        <v>2.43950700666877</v>
      </c>
      <c r="AI152" s="40" t="n">
        <f aca="false">AG152*100*E152*'Assumptions &amp; Data'!$C$63/'Assumptions &amp; Data'!$C$85*M152/100000</f>
        <v>25.3630900807484</v>
      </c>
      <c r="AJ152" s="49" t="n">
        <f aca="false">MAX(0,I152-$B$8)</f>
        <v>0</v>
      </c>
      <c r="AK152" s="40" t="n">
        <f aca="false">AJ152*F152</f>
        <v>0</v>
      </c>
      <c r="AL152" s="40" t="n">
        <f aca="false">MAX(0,K152-E152/$B$10)</f>
        <v>0</v>
      </c>
      <c r="AM152" s="40" t="n">
        <f aca="false">AL152*BN152/K152</f>
        <v>0</v>
      </c>
      <c r="AN152" s="40" t="n">
        <f aca="false">MAX(0,J152-$B$9)</f>
        <v>0</v>
      </c>
      <c r="AO152" s="40" t="n">
        <f aca="false">AN152*E152*'Assumptions &amp; Data'!$C$63/'Assumptions &amp; Data'!$C$85/100000</f>
        <v>0</v>
      </c>
      <c r="AP152" s="37" t="n">
        <f aca="false">'Assumptions &amp; Data'!H188</f>
        <v>5000</v>
      </c>
      <c r="AQ152" s="39" t="n">
        <f aca="false">MIN(AP152,$B$11*E152/100)</f>
        <v>4996.83309855481</v>
      </c>
      <c r="AR152" s="39" t="n">
        <f aca="false">IF(AP152-AQ152&gt;'Assumptions &amp; Data'!$C$78*AP152,AP152-AQ152,0)</f>
        <v>0</v>
      </c>
      <c r="AS152" s="50" t="n">
        <f aca="false">'Assumptions &amp; Data'!I188</f>
        <v>152</v>
      </c>
      <c r="AT152" s="40" t="n">
        <f aca="false">INDEX('Assumptions &amp; Data'!$B$89:$E$94,MATCH(B152,'Assumptions &amp; Data'!$A$89:$A$94,0),MATCH(C152,'Assumptions &amp; Data'!$B$88:$E$88,0))</f>
        <v>133</v>
      </c>
      <c r="AU152" s="39" t="n">
        <f aca="false">IF(BY152&lt;='Assumptions &amp; Data'!$C$79,1,0)</f>
        <v>1</v>
      </c>
      <c r="AV152" s="40" t="n">
        <f aca="false">AU152*(AR152*AS152+MAX(0,AS152-AT152)*(AP152-AR152))/100000</f>
        <v>0.95</v>
      </c>
      <c r="AW152" s="40" t="n">
        <f aca="false">'Assumptions &amp; Data'!$C$67*(AH152-'Assumptions &amp; Data'!$C$68*AI152+AK152+AM152+AO152+AV152)</f>
        <v>1.88152566351677</v>
      </c>
      <c r="AX152" s="40" t="n">
        <f aca="false">O152+AW152</f>
        <v>9.15532846040718</v>
      </c>
      <c r="AY152" s="49" t="n">
        <f aca="false">IF(D152&lt;'Assumptions &amp; Data'!$C$64,'Assumptions &amp; Data'!$C$70,'Assumptions &amp; Data'!$C$69)</f>
        <v>0.5</v>
      </c>
      <c r="AZ152" s="40" t="n">
        <f aca="false">AY152*MAX(0,V152-E152)*'Assumptions &amp; Data'!$C$63/'Assumptions &amp; Data'!$C$85*(M152-'Assumptions &amp; Data'!$C$71)/100000</f>
        <v>3.78982907306391</v>
      </c>
      <c r="BA152" s="40" t="n">
        <f aca="false">AX152+AZ152</f>
        <v>12.9451575334711</v>
      </c>
      <c r="BB152" s="40" t="n">
        <f aca="false">BA152+(1-'Assumptions &amp; Data'!$C$67)*AV152</f>
        <v>13.3251575334711</v>
      </c>
      <c r="BC152" s="48" t="str">
        <f aca="false">'Assumptions &amp; Data'!F188</f>
        <v>DS049</v>
      </c>
      <c r="BD152" s="39" t="n">
        <f aca="false">INDEX('Assumptions &amp; Data'!$K$142:$K$201,MATCH(BC152,'Assumptions &amp; Data'!$A$142:$A$201,0))*'Assumptions &amp; Data'!$C$77</f>
        <v>972</v>
      </c>
      <c r="BE152" s="39" t="n">
        <f aca="false">MAX(0,BD152-INDEX($E$106:$E$165,MATCH(BC152,$A$106:$A$165,0)))</f>
        <v>318.152173913044</v>
      </c>
      <c r="BF152" s="39" t="n">
        <f aca="false">IF(T152&lt;='Assumptions &amp; Data'!$C$74,MIN('Assumptions &amp; Data'!$C$76*E152,BE152),0)</f>
        <v>0</v>
      </c>
      <c r="BG152" s="40" t="n">
        <f aca="false">-O152+BF152*'Assumptions &amp; Data'!$C$63/'Assumptions &amp; Data'!$C$85*($B$12-'Assumptions &amp; Data'!$C$71)/100000</f>
        <v>-7.27380279689041</v>
      </c>
      <c r="BH152" s="40" t="n">
        <f aca="false">(AS152*AP152*BY152*'Assumptions &amp; Data'!$C$82+K152*(BN152*100000/K152)*'Assumptions &amp; Data'!$C$80*(1-'Assumptions &amp; Data'!$C$81)+AP152*'Assumptions &amp; Data'!$C$83)/100000</f>
        <v>33.935733</v>
      </c>
      <c r="BI152" s="40" t="n">
        <f aca="false">'Assumptions &amp; Data'!L188*MAX(0,1-D152/'Assumptions &amp; Data'!$C$84)</f>
        <v>105.238095238095</v>
      </c>
      <c r="BJ152" s="40" t="n">
        <f aca="false">IF(BG152&gt;0,BH152/BG152,99)</f>
        <v>99</v>
      </c>
      <c r="BK152" s="2" t="str">
        <f aca="false">IF(AND(P152&gt;='Assumptions &amp; Data'!$C$65,R152&gt;=0,W152&gt;='Assumptions &amp; Data'!$C$66),"Scale",IF(OR(O152&gt;=0,AX152&gt;=0),"Optimise",IF(BA152&gt;=0,"Turn around",IF(BB152&gt;=0,"Relocate or resize",IF(AND(BF152&gt;0,BJ152&lt;='Assumptions &amp; Data'!$C$75,D152&gt;='Assumptions &amp; Data'!$C$64),"Close","Relocate or resize")))))</f>
        <v>Scale</v>
      </c>
      <c r="BL152" s="42" t="str">
        <f aca="false">INDEX($BK$106:$BK$165,MATCH(BC152,$A$106:$A$165,0))</f>
        <v>Optimise</v>
      </c>
      <c r="BM152" s="42" t="str">
        <f aca="false">IF(RANK(P152,$P$106:$P$165)&lt;=ROUND(COUNT($P$106:$P$165)/4,0),"Q1 top",IF(RANK(P152,$P$106:$P$165)&gt;COUNT($P$106:$P$165)-ROUND(COUNT($P$106:$P$165)/4,0),"Q4 bottom","Q2-Q3 middle"))</f>
        <v>Q2-Q3 middle</v>
      </c>
      <c r="BN152" s="40" t="n">
        <f aca="false">SUMIFS('Financial Analysis'!$R$71:$R$790,'Financial Analysis'!$B$71:$B$790,$A152,'Financial Analysis'!$C$71:$C$790,"&gt;="&amp;'Assumptions &amp; Data'!$C$62)/'Assumptions &amp; Data'!$C$85/100000</f>
        <v>5.70637</v>
      </c>
      <c r="BO152" s="40" t="n">
        <f aca="false">SUMIFS('Financial Analysis'!$H$71:$H$790,'Financial Analysis'!$B$71:$B$790,$A152,'Financial Analysis'!$C$71:$C$790,"&gt;="&amp;'Assumptions &amp; Data'!$C$62)/SUMIFS('Financial Analysis'!$E$71:$E$790,'Financial Analysis'!$B$71:$B$790,$A152,'Financial Analysis'!$C$71:$C$790,"&gt;="&amp;'Assumptions &amp; Data'!$C$62)</f>
        <v>542.148549815533</v>
      </c>
      <c r="BP152" s="40" t="n">
        <f aca="false">(SUMIFS('Financial Analysis'!$I$71:$I$790,'Financial Analysis'!$B$71:$B$790,$A152,'Financial Analysis'!$C$71:$C$790,"&gt;="&amp;'Assumptions &amp; Data'!$C$62)+SUMIFS('Financial Analysis'!$J$71:$J$790,'Financial Analysis'!$B$71:$B$790,$A152,'Financial Analysis'!$C$71:$C$790,"&gt;="&amp;'Assumptions &amp; Data'!$C$62)+SUMIFS('Financial Analysis'!$K$71:$K$790,'Financial Analysis'!$B$71:$B$790,$A152,'Financial Analysis'!$C$71:$C$790,"&gt;="&amp;'Assumptions &amp; Data'!$C$62))/SUMIFS('Financial Analysis'!$E$71:$E$790,'Financial Analysis'!$B$71:$B$790,$A152,'Financial Analysis'!$C$71:$C$790,"&gt;="&amp;'Assumptions &amp; Data'!$C$62)</f>
        <v>121.291401063158</v>
      </c>
      <c r="BQ152" s="40" t="n">
        <f aca="false">SUMIFS('Financial Analysis'!$L$71:$L$790,'Financial Analysis'!$B$71:$B$790,$A152,'Financial Analysis'!$C$71:$C$790,"&gt;="&amp;'Assumptions &amp; Data'!$C$62)/SUMIFS('Financial Analysis'!$E$71:$E$790,'Financial Analysis'!$B$71:$B$790,$A152,'Financial Analysis'!$C$71:$C$790,"&gt;="&amp;'Assumptions &amp; Data'!$C$62)</f>
        <v>9.59963938835714</v>
      </c>
      <c r="BR152" s="40" t="n">
        <f aca="false">SUMIFS('Financial Analysis'!$L$71:$L$790,'Financial Analysis'!$B$71:$B$790,$A152,'Financial Analysis'!$C$71:$C$790,"&gt;="&amp;'Assumptions &amp; Data'!$C$62)/SUMIFS('Financial Analysis'!$E$71:$E$790,'Financial Analysis'!$B$71:$B$790,$A152,'Financial Analysis'!$C$71:$C$790,"&gt;="&amp;'Assumptions &amp; Data'!$C$62)</f>
        <v>9.59963938835714</v>
      </c>
      <c r="BS152" s="40" t="n">
        <f aca="false">SUMIFS('Financial Analysis'!$N$71:$N$790,'Financial Analysis'!$B$71:$B$790,$A152,'Financial Analysis'!$C$71:$C$790,"&gt;="&amp;'Assumptions &amp; Data'!$C$62)/SUMIFS('Financial Analysis'!$E$71:$E$790,'Financial Analysis'!$B$71:$B$790,$A152,'Financial Analysis'!$C$71:$C$790,"&gt;="&amp;'Assumptions &amp; Data'!$C$62)</f>
        <v>36.3997011083064</v>
      </c>
      <c r="BT152" s="40" t="n">
        <f aca="false">(SUMIFS('Financial Analysis'!$O$71:$O$790,'Financial Analysis'!$B$71:$B$790,$A152,'Financial Analysis'!$C$71:$C$790,"&gt;="&amp;'Assumptions &amp; Data'!$C$62)+SUMIFS('Financial Analysis'!$P$71:$P$790,'Financial Analysis'!$B$71:$B$790,$A152,'Financial Analysis'!$C$71:$C$790,"&gt;="&amp;'Assumptions &amp; Data'!$C$62))/SUMIFS('Financial Analysis'!$E$71:$E$790,'Financial Analysis'!$B$71:$B$790,$A152,'Financial Analysis'!$C$71:$C$790,"&gt;="&amp;'Assumptions &amp; Data'!$C$62)</f>
        <v>14.9847868744208</v>
      </c>
      <c r="BU152" s="40" t="n">
        <f aca="false">SUMIFS('Financial Analysis'!$R$71:$R$790,'Financial Analysis'!$B$71:$B$790,$A152,'Financial Analysis'!$C$71:$C$790,"&gt;="&amp;'Assumptions &amp; Data'!$C$62)/SUMIFS('Financial Analysis'!$E$71:$E$790,'Financial Analysis'!$B$71:$B$790,$A152,'Financial Analysis'!$C$71:$C$790,"&gt;="&amp;'Assumptions &amp; Data'!$C$62)</f>
        <v>14.308612360208</v>
      </c>
      <c r="BV152" s="40" t="n">
        <f aca="false">SUMIFS('Financial Analysis'!$S$71:$S$790,'Financial Analysis'!$B$71:$B$790,$A152,'Financial Analysis'!$C$71:$C$790,"&gt;="&amp;'Assumptions &amp; Data'!$C$62)/SUMIFS('Financial Analysis'!$E$71:$E$790,'Financial Analysis'!$B$71:$B$790,$A152,'Financial Analysis'!$C$71:$C$790,"&gt;="&amp;'Assumptions &amp; Data'!$C$62)</f>
        <v>19.0568529446181</v>
      </c>
      <c r="BW152" s="40" t="n">
        <f aca="false">(SUMIFS('Financial Analysis'!$T$71:$T$790,'Financial Analysis'!$B$71:$B$790,$A152,'Financial Analysis'!$C$71:$C$790,"&gt;="&amp;'Assumptions &amp; Data'!$C$62)+SUMIFS('Financial Analysis'!$U$71:$U$790,'Financial Analysis'!$B$71:$B$790,$A152,'Financial Analysis'!$C$71:$C$790,"&gt;="&amp;'Assumptions &amp; Data'!$C$62))/SUMIFS('Financial Analysis'!$E$71:$E$790,'Financial Analysis'!$B$71:$B$790,$A152,'Financial Analysis'!$C$71:$C$790,"&gt;="&amp;'Assumptions &amp; Data'!$C$62)</f>
        <v>8.7028886177095</v>
      </c>
      <c r="BX152" s="40" t="n">
        <f aca="false">SUMIFS('Financial Analysis'!$V$71:$V$790,'Financial Analysis'!$B$71:$B$790,$A152,'Financial Analysis'!$C$71:$C$790,"&gt;="&amp;'Assumptions &amp; Data'!$C$62)/SUMIFS('Financial Analysis'!$E$71:$E$790,'Financial Analysis'!$B$71:$B$790,$A152,'Financial Analysis'!$C$71:$C$790,"&gt;="&amp;'Assumptions &amp; Data'!$C$62)</f>
        <v>18.2389197695385</v>
      </c>
      <c r="BY152" s="37" t="n">
        <f aca="false">'Assumptions &amp; Data'!J188</f>
        <v>6</v>
      </c>
      <c r="BZ152" s="39" t="str">
        <f aca="false">IF(BK152="Close",COUNTIF($BK$106:BK152,"Close"),"")</f>
        <v/>
      </c>
    </row>
    <row r="153" customFormat="false" ht="15" hidden="false" customHeight="false" outlineLevel="0" collapsed="false">
      <c r="A153" s="48" t="str">
        <f aca="false">'Assumptions &amp; Data'!A189</f>
        <v>DS048</v>
      </c>
      <c r="B153" s="48" t="str">
        <f aca="false">'Assumptions &amp; Data'!B189</f>
        <v>Pune</v>
      </c>
      <c r="C153" s="48" t="str">
        <f aca="false">'Assumptions &amp; Data'!C189</f>
        <v>Mixed use</v>
      </c>
      <c r="D153" s="37" t="n">
        <f aca="false">'Assumptions &amp; Data'!D189</f>
        <v>11</v>
      </c>
      <c r="E153" s="39" t="n">
        <f aca="false">SUMIFS('Financial Analysis'!$E$71:$E$790,'Financial Analysis'!$B$71:$B$790,$A153,'Financial Analysis'!$C$71:$C$790,"&gt;="&amp;'Assumptions &amp; Data'!$C$62)/'Assumptions &amp; Data'!$C$63</f>
        <v>417.554347826087</v>
      </c>
      <c r="F153" s="40" t="n">
        <f aca="false">SUMIFS('Financial Analysis'!$H$71:$H$790,'Financial Analysis'!$B$71:$B$790,$A153,'Financial Analysis'!$C$71:$C$790,"&gt;="&amp;'Assumptions &amp; Data'!$C$62)/'Assumptions &amp; Data'!$C$85/100000</f>
        <v>75.863433951</v>
      </c>
      <c r="G153" s="40" t="n">
        <f aca="false">SUMIFS('Financial Analysis'!$F$71:$F$790,'Financial Analysis'!$B$71:$B$790,$A153,'Financial Analysis'!$C$71:$C$790,"&gt;="&amp;'Assumptions &amp; Data'!$C$62)/SUMIFS('Financial Analysis'!$E$71:$E$790,'Financial Analysis'!$B$71:$B$790,$A153,'Financial Analysis'!$C$71:$C$790,"&gt;="&amp;'Assumptions &amp; Data'!$C$62)</f>
        <v>629.58855134713</v>
      </c>
      <c r="H153" s="49" t="n">
        <f aca="false">SUMIFS('Financial Analysis'!$G$71:$G$790,'Financial Analysis'!$B$71:$B$790,$A153,'Financial Analysis'!$C$71:$C$790,"&gt;="&amp;'Assumptions &amp; Data'!$C$62)/SUMIFS('Financial Analysis'!$F$71:$F$790,'Financial Analysis'!$B$71:$B$790,$A153,'Financial Analysis'!$C$71:$C$790,"&gt;="&amp;'Assumptions &amp; Data'!$C$62)</f>
        <v>0.058985983705987</v>
      </c>
      <c r="I153" s="49" t="n">
        <f aca="false">SUMIFS('Financial Analysis'!$L$71:$L$790,'Financial Analysis'!$B$71:$B$790,$A153,'Financial Analysis'!$C$71:$C$790,"&gt;="&amp;'Assumptions &amp; Data'!$C$62)/SUMIFS('Financial Analysis'!$H$71:$H$790,'Financial Analysis'!$B$71:$B$790,$A153,'Financial Analysis'!$C$71:$C$790,"&gt;="&amp;'Assumptions &amp; Data'!$C$62)</f>
        <v>0.0351478782768094</v>
      </c>
      <c r="J153" s="40" t="n">
        <f aca="false">SUMIFS('Financial Analysis'!$N$71:$N$790,'Financial Analysis'!$B$71:$B$790,$A153,'Financial Analysis'!$C$71:$C$790,"&gt;="&amp;'Assumptions &amp; Data'!$C$62)/SUMIFS('Financial Analysis'!$E$71:$E$790,'Financial Analysis'!$B$71:$B$790,$A153,'Financial Analysis'!$C$71:$C$790,"&gt;="&amp;'Assumptions &amp; Data'!$C$62)</f>
        <v>43.7215655342965</v>
      </c>
      <c r="K153" s="40" t="n">
        <f aca="false">SUMIFS('Financial Analysis'!$R$71:$R$790,'Financial Analysis'!$B$71:$B$790,$A153,'Financial Analysis'!$C$71:$C$790,"&gt;="&amp;'Assumptions &amp; Data'!$C$62)/AVERAGEIFS('Assumptions &amp; Data'!$M$205:$M$924,'Assumptions &amp; Data'!$B$205:$B$924,$A153,'Assumptions &amp; Data'!$C$205:$C$924,"&gt;="&amp;'Assumptions &amp; Data'!$C$62)/'Assumptions &amp; Data'!$C$85</f>
        <v>16.6663673939558</v>
      </c>
      <c r="L153" s="40" t="n">
        <f aca="false">E153/K153</f>
        <v>25.0537107430811</v>
      </c>
      <c r="M153" s="40" t="n">
        <f aca="false">SUMIFS('Financial Analysis'!$Q$71:$Q$790,'Financial Analysis'!$B$71:$B$790,$A153,'Financial Analysis'!$C$71:$C$790,"&gt;="&amp;'Assumptions &amp; Data'!$C$62)/SUMIFS('Financial Analysis'!$E$71:$E$790,'Financial Analysis'!$B$71:$B$790,$A153,'Financial Analysis'!$C$71:$C$790,"&gt;="&amp;'Assumptions &amp; Data'!$C$62)</f>
        <v>41.9012850850976</v>
      </c>
      <c r="N153" s="40" t="n">
        <f aca="false">SUMIFS('Financial Analysis'!$Y$71:$Y$790,'Financial Analysis'!$B$71:$B$790,$A153,'Financial Analysis'!$C$71:$C$790,"&gt;="&amp;'Assumptions &amp; Data'!$C$62)/'Assumptions &amp; Data'!$C$85/100000</f>
        <v>10.8481966666667</v>
      </c>
      <c r="O153" s="40" t="n">
        <f aca="false">SUMIFS('Financial Analysis'!$V$71:$V$790,'Financial Analysis'!$B$71:$B$790,$A153,'Financial Analysis'!$C$71:$C$790,"&gt;="&amp;'Assumptions &amp; Data'!$C$62)/'Assumptions &amp; Data'!$C$85/100000</f>
        <v>-5.48273711151992</v>
      </c>
      <c r="P153" s="49" t="n">
        <f aca="false">O153/F153</f>
        <v>-0.0722711433687698</v>
      </c>
      <c r="Q153" s="39" t="n">
        <f aca="false">IF(M153&gt;0,N153*100000/(M153*'Assumptions &amp; Data'!$C$63/'Assumptions &amp; Data'!$C$85),9999)</f>
        <v>844.235547334257</v>
      </c>
      <c r="R153" s="49" t="n">
        <f aca="false">E153/Q153-1</f>
        <v>-0.50540539409345</v>
      </c>
      <c r="S153" s="50" t="n">
        <f aca="false">'Assumptions &amp; Data'!E189</f>
        <v>23.9</v>
      </c>
      <c r="T153" s="50" t="n">
        <f aca="false">'Assumptions &amp; Data'!G189</f>
        <v>1</v>
      </c>
      <c r="U153" s="49" t="n">
        <f aca="false">MAX(0,('Assumptions &amp; Data'!$C$72-T153)/'Assumptions &amp; Data'!$C$72)*'Assumptions &amp; Data'!$C$73</f>
        <v>0.166666666666667</v>
      </c>
      <c r="V153" s="39" t="n">
        <f aca="false">S153*$B$6*(1-U153)</f>
        <v>709.462053827711</v>
      </c>
      <c r="W153" s="49" t="n">
        <f aca="false">V153/E153-1</f>
        <v>0.699089130603916</v>
      </c>
      <c r="X153" s="39" t="n">
        <f aca="false">IF(D153&gt;='Assumptions &amp; Data'!$C$64,1,0)</f>
        <v>0</v>
      </c>
      <c r="Y153" s="40" t="str">
        <f aca="false">IF(AND(X153=1,T153&gt;='Assumptions &amp; Data'!$C$72),E153/S153,"")</f>
        <v/>
      </c>
      <c r="Z153" s="49" t="str">
        <f aca="false">IF(X153=1,H153,"")</f>
        <v/>
      </c>
      <c r="AA153" s="49" t="str">
        <f aca="false">IF(X153=1,I153,"")</f>
        <v/>
      </c>
      <c r="AB153" s="40" t="str">
        <f aca="false">IF(X153=1,J153,"")</f>
        <v/>
      </c>
      <c r="AC153" s="40" t="str">
        <f aca="false">IF(X153=1,L153,"")</f>
        <v/>
      </c>
      <c r="AD153" s="40" t="str">
        <f aca="false">IF(X153=1,AP153/E153*100,"")</f>
        <v/>
      </c>
      <c r="AE153" s="40" t="str">
        <f aca="false">IF(X153=1,M153,"")</f>
        <v/>
      </c>
      <c r="AF153" s="40" t="n">
        <f aca="false">E153*'Assumptions &amp; Data'!$C$63/'Assumptions &amp; Data'!$C$85*G153/100000</f>
        <v>80.618814</v>
      </c>
      <c r="AG153" s="49" t="n">
        <f aca="false">MAX(0,H153-$B$7)</f>
        <v>0.00418088370273025</v>
      </c>
      <c r="AH153" s="40" t="n">
        <f aca="false">AG153*AF153</f>
        <v>0.337057885586041</v>
      </c>
      <c r="AI153" s="40" t="n">
        <f aca="false">AG153*100*E153*'Assumptions &amp; Data'!$C$63/'Assumptions &amp; Data'!$C$85*M153/100000</f>
        <v>2.24323624117713</v>
      </c>
      <c r="AJ153" s="49" t="n">
        <f aca="false">MAX(0,I153-$B$8)</f>
        <v>0.0137432845665223</v>
      </c>
      <c r="AK153" s="40" t="n">
        <f aca="false">AJ153*F153</f>
        <v>1.04261276098216</v>
      </c>
      <c r="AL153" s="40" t="n">
        <f aca="false">MAX(0,K153-E153/$B$10)</f>
        <v>5.72647668784441</v>
      </c>
      <c r="AM153" s="40" t="n">
        <f aca="false">AL153*BN153/K153</f>
        <v>1.12681790612277</v>
      </c>
      <c r="AN153" s="40" t="n">
        <f aca="false">MAX(0,J153-$B$9)</f>
        <v>5.51540893783574</v>
      </c>
      <c r="AO153" s="40" t="n">
        <f aca="false">AN153*E153*'Assumptions &amp; Data'!$C$63/'Assumptions &amp; Data'!$C$85/100000</f>
        <v>0.706248114489866</v>
      </c>
      <c r="AP153" s="37" t="n">
        <f aca="false">'Assumptions &amp; Data'!H189</f>
        <v>3500</v>
      </c>
      <c r="AQ153" s="39" t="n">
        <f aca="false">MIN(AP153,$B$11*E153/100)</f>
        <v>1604.39764866003</v>
      </c>
      <c r="AR153" s="39" t="n">
        <f aca="false">IF(AP153-AQ153&gt;'Assumptions &amp; Data'!$C$78*AP153,AP153-AQ153,0)</f>
        <v>1895.60235133997</v>
      </c>
      <c r="AS153" s="50" t="n">
        <f aca="false">'Assumptions &amp; Data'!I189</f>
        <v>140</v>
      </c>
      <c r="AT153" s="40" t="n">
        <f aca="false">INDEX('Assumptions &amp; Data'!$B$89:$E$94,MATCH(B153,'Assumptions &amp; Data'!$A$89:$A$94,0),MATCH(C153,'Assumptions &amp; Data'!$B$88:$E$88,0))</f>
        <v>117</v>
      </c>
      <c r="AU153" s="39" t="n">
        <f aca="false">IF(BY153&lt;='Assumptions &amp; Data'!$C$79,1,0)</f>
        <v>0</v>
      </c>
      <c r="AV153" s="40" t="n">
        <f aca="false">AU153*(AR153*AS153+MAX(0,AS153-AT153)*(AP153-AR153))/100000</f>
        <v>0</v>
      </c>
      <c r="AW153" s="40" t="n">
        <f aca="false">'Assumptions &amp; Data'!$C$67*(AH153-'Assumptions &amp; Data'!$C$68*AI153+AK153+AM153+AO153+AV153)</f>
        <v>1.91418258286144</v>
      </c>
      <c r="AX153" s="40" t="n">
        <f aca="false">O153+AW153</f>
        <v>-3.56855452865848</v>
      </c>
      <c r="AY153" s="49" t="n">
        <f aca="false">IF(D153&lt;'Assumptions &amp; Data'!$C$64,'Assumptions &amp; Data'!$C$70,'Assumptions &amp; Data'!$C$69)</f>
        <v>0.8</v>
      </c>
      <c r="AZ153" s="40" t="n">
        <f aca="false">AY153*MAX(0,V153-E153)*'Assumptions &amp; Data'!$C$63/'Assumptions &amp; Data'!$C$85*(M153-'Assumptions &amp; Data'!$C$71)/100000</f>
        <v>2.28460065916776</v>
      </c>
      <c r="BA153" s="40" t="n">
        <f aca="false">AX153+AZ153</f>
        <v>-1.28395386949072</v>
      </c>
      <c r="BB153" s="40" t="n">
        <f aca="false">BA153+(1-'Assumptions &amp; Data'!$C$67)*AV153</f>
        <v>-1.28395386949072</v>
      </c>
      <c r="BC153" s="48" t="str">
        <f aca="false">'Assumptions &amp; Data'!F189</f>
        <v>DS052</v>
      </c>
      <c r="BD153" s="39" t="n">
        <f aca="false">INDEX('Assumptions &amp; Data'!$K$142:$K$201,MATCH(BC153,'Assumptions &amp; Data'!$A$142:$A$201,0))*'Assumptions &amp; Data'!$C$77</f>
        <v>1458</v>
      </c>
      <c r="BE153" s="39" t="n">
        <f aca="false">MAX(0,BD153-INDEX($E$106:$E$165,MATCH(BC153,$A$106:$A$165,0)))</f>
        <v>856.467391304348</v>
      </c>
      <c r="BF153" s="39" t="n">
        <f aca="false">IF(T153&lt;='Assumptions &amp; Data'!$C$74,MIN('Assumptions &amp; Data'!$C$76*E153,BE153),0)</f>
        <v>250.532608695652</v>
      </c>
      <c r="BG153" s="40" t="n">
        <f aca="false">-O153+BF153*'Assumptions &amp; Data'!$C$63/'Assumptions &amp; Data'!$C$85*($B$12-'Assumptions &amp; Data'!$C$71)/100000</f>
        <v>9.68818336521314</v>
      </c>
      <c r="BH153" s="40" t="n">
        <f aca="false">(AS153*AP153*BY153*'Assumptions &amp; Data'!$C$82+K153*(BN153*100000/K153)*'Assumptions &amp; Data'!$C$80*(1-'Assumptions &amp; Data'!$C$81)+AP153*'Assumptions &amp; Data'!$C$83)/100000</f>
        <v>95.351547</v>
      </c>
      <c r="BI153" s="40" t="n">
        <f aca="false">'Assumptions &amp; Data'!L189*MAX(0,1-D153/'Assumptions &amp; Data'!$C$84)</f>
        <v>103.416666666667</v>
      </c>
      <c r="BJ153" s="40" t="n">
        <f aca="false">IF(BG153&gt;0,BH153/BG153,99)</f>
        <v>9.84204606844807</v>
      </c>
      <c r="BK153" s="2" t="str">
        <f aca="false">IF(AND(P153&gt;='Assumptions &amp; Data'!$C$65,R153&gt;=0,W153&gt;='Assumptions &amp; Data'!$C$66),"Scale",IF(OR(O153&gt;=0,AX153&gt;=0),"Optimise",IF(BA153&gt;=0,"Turn around",IF(BB153&gt;=0,"Relocate or resize",IF(AND(BF153&gt;0,BJ153&lt;='Assumptions &amp; Data'!$C$75,D153&gt;='Assumptions &amp; Data'!$C$64),"Close","Relocate or resize")))))</f>
        <v>Relocate or resize</v>
      </c>
      <c r="BL153" s="42" t="str">
        <f aca="false">INDEX($BK$106:$BK$165,MATCH(BC153,$A$106:$A$165,0))</f>
        <v>Turn around</v>
      </c>
      <c r="BM153" s="42" t="str">
        <f aca="false">IF(RANK(P153,$P$106:$P$165)&lt;=ROUND(COUNT($P$106:$P$165)/4,0),"Q1 top",IF(RANK(P153,$P$106:$P$165)&gt;COUNT($P$106:$P$165)-ROUND(COUNT($P$106:$P$165)/4,0),"Q4 bottom","Q2-Q3 middle"))</f>
        <v>Q4 bottom</v>
      </c>
      <c r="BN153" s="40" t="n">
        <f aca="false">SUMIFS('Financial Analysis'!$R$71:$R$790,'Financial Analysis'!$B$71:$B$790,$A153,'Financial Analysis'!$C$71:$C$790,"&gt;="&amp;'Assumptions &amp; Data'!$C$62)/'Assumptions &amp; Data'!$C$85/100000</f>
        <v>3.27949666666667</v>
      </c>
      <c r="BO153" s="40" t="n">
        <f aca="false">SUMIFS('Financial Analysis'!$H$71:$H$790,'Financial Analysis'!$B$71:$B$790,$A153,'Financial Analysis'!$C$71:$C$790,"&gt;="&amp;'Assumptions &amp; Data'!$C$62)/SUMIFS('Financial Analysis'!$E$71:$E$790,'Financial Analysis'!$B$71:$B$790,$A153,'Financial Analysis'!$C$71:$C$790,"&gt;="&amp;'Assumptions &amp; Data'!$C$62)</f>
        <v>592.451651315892</v>
      </c>
      <c r="BP153" s="40" t="n">
        <f aca="false">(SUMIFS('Financial Analysis'!$I$71:$I$790,'Financial Analysis'!$B$71:$B$790,$A153,'Financial Analysis'!$C$71:$C$790,"&gt;="&amp;'Assumptions &amp; Data'!$C$62)+SUMIFS('Financial Analysis'!$J$71:$J$790,'Financial Analysis'!$B$71:$B$790,$A153,'Financial Analysis'!$C$71:$C$790,"&gt;="&amp;'Assumptions &amp; Data'!$C$62)+SUMIFS('Financial Analysis'!$K$71:$K$790,'Financial Analysis'!$B$71:$B$790,$A153,'Financial Analysis'!$C$71:$C$790,"&gt;="&amp;'Assumptions &amp; Data'!$C$62))/SUMIFS('Financial Analysis'!$E$71:$E$790,'Financial Analysis'!$B$71:$B$790,$A153,'Financial Analysis'!$C$71:$C$790,"&gt;="&amp;'Assumptions &amp; Data'!$C$62)</f>
        <v>122.008808149969</v>
      </c>
      <c r="BQ153" s="40" t="n">
        <f aca="false">SUMIFS('Financial Analysis'!$L$71:$L$790,'Financial Analysis'!$B$71:$B$790,$A153,'Financial Analysis'!$C$71:$C$790,"&gt;="&amp;'Assumptions &amp; Data'!$C$62)/SUMIFS('Financial Analysis'!$E$71:$E$790,'Financial Analysis'!$B$71:$B$790,$A153,'Financial Analysis'!$C$71:$C$790,"&gt;="&amp;'Assumptions &amp; Data'!$C$62)</f>
        <v>20.8234185253457</v>
      </c>
      <c r="BR153" s="40" t="n">
        <f aca="false">SUMIFS('Financial Analysis'!$L$71:$L$790,'Financial Analysis'!$B$71:$B$790,$A153,'Financial Analysis'!$C$71:$C$790,"&gt;="&amp;'Assumptions &amp; Data'!$C$62)/SUMIFS('Financial Analysis'!$E$71:$E$790,'Financial Analysis'!$B$71:$B$790,$A153,'Financial Analysis'!$C$71:$C$790,"&gt;="&amp;'Assumptions &amp; Data'!$C$62)</f>
        <v>20.8234185253457</v>
      </c>
      <c r="BS153" s="40" t="n">
        <f aca="false">SUMIFS('Financial Analysis'!$N$71:$N$790,'Financial Analysis'!$B$71:$B$790,$A153,'Financial Analysis'!$C$71:$C$790,"&gt;="&amp;'Assumptions &amp; Data'!$C$62)/SUMIFS('Financial Analysis'!$E$71:$E$790,'Financial Analysis'!$B$71:$B$790,$A153,'Financial Analysis'!$C$71:$C$790,"&gt;="&amp;'Assumptions &amp; Data'!$C$62)</f>
        <v>43.7215655342965</v>
      </c>
      <c r="BT153" s="40" t="n">
        <f aca="false">(SUMIFS('Financial Analysis'!$O$71:$O$790,'Financial Analysis'!$B$71:$B$790,$A153,'Financial Analysis'!$C$71:$C$790,"&gt;="&amp;'Assumptions &amp; Data'!$C$62)+SUMIFS('Financial Analysis'!$P$71:$P$790,'Financial Analysis'!$B$71:$B$790,$A153,'Financial Analysis'!$C$71:$C$790,"&gt;="&amp;'Assumptions &amp; Data'!$C$62))/SUMIFS('Financial Analysis'!$E$71:$E$790,'Financial Analysis'!$B$71:$B$790,$A153,'Financial Analysis'!$C$71:$C$790,"&gt;="&amp;'Assumptions &amp; Data'!$C$62)</f>
        <v>15.5625390052296</v>
      </c>
      <c r="BU153" s="40" t="n">
        <f aca="false">SUMIFS('Financial Analysis'!$R$71:$R$790,'Financial Analysis'!$B$71:$B$790,$A153,'Financial Analysis'!$C$71:$C$790,"&gt;="&amp;'Assumptions &amp; Data'!$C$62)/SUMIFS('Financial Analysis'!$E$71:$E$790,'Financial Analysis'!$B$71:$B$790,$A153,'Financial Analysis'!$C$71:$C$790,"&gt;="&amp;'Assumptions &amp; Data'!$C$62)</f>
        <v>25.6110633866979</v>
      </c>
      <c r="BV153" s="40" t="n">
        <f aca="false">SUMIFS('Financial Analysis'!$S$71:$S$790,'Financial Analysis'!$B$71:$B$790,$A153,'Financial Analysis'!$C$71:$C$790,"&gt;="&amp;'Assumptions &amp; Data'!$C$62)/SUMIFS('Financial Analysis'!$E$71:$E$790,'Financial Analysis'!$B$71:$B$790,$A153,'Financial Analysis'!$C$71:$C$790,"&gt;="&amp;'Assumptions &amp; Data'!$C$62)</f>
        <v>38.2663022256931</v>
      </c>
      <c r="BW153" s="40" t="n">
        <f aca="false">(SUMIFS('Financial Analysis'!$T$71:$T$790,'Financial Analysis'!$B$71:$B$790,$A153,'Financial Analysis'!$C$71:$C$790,"&gt;="&amp;'Assumptions &amp; Data'!$C$62)+SUMIFS('Financial Analysis'!$U$71:$U$790,'Financial Analysis'!$B$71:$B$790,$A153,'Financial Analysis'!$C$71:$C$790,"&gt;="&amp;'Assumptions &amp; Data'!$C$62))/SUMIFS('Financial Analysis'!$E$71:$E$790,'Financial Analysis'!$B$71:$B$790,$A153,'Financial Analysis'!$C$71:$C$790,"&gt;="&amp;'Assumptions &amp; Data'!$C$62)</f>
        <v>20.8410777040219</v>
      </c>
      <c r="BX153" s="40" t="n">
        <f aca="false">SUMIFS('Financial Analysis'!$V$71:$V$790,'Financial Analysis'!$B$71:$B$790,$A153,'Financial Analysis'!$C$71:$C$790,"&gt;="&amp;'Assumptions &amp; Data'!$C$62)/SUMIFS('Financial Analysis'!$E$71:$E$790,'Financial Analysis'!$B$71:$B$790,$A153,'Financial Analysis'!$C$71:$C$790,"&gt;="&amp;'Assumptions &amp; Data'!$C$62)</f>
        <v>-42.8171582313153</v>
      </c>
      <c r="BY153" s="37" t="n">
        <f aca="false">'Assumptions &amp; Data'!J189</f>
        <v>36</v>
      </c>
      <c r="BZ153" s="39" t="str">
        <f aca="false">IF(BK153="Close",COUNTIF($BK$106:BK153,"Close"),"")</f>
        <v/>
      </c>
    </row>
    <row r="154" customFormat="false" ht="15" hidden="false" customHeight="false" outlineLevel="0" collapsed="false">
      <c r="A154" s="48" t="str">
        <f aca="false">'Assumptions &amp; Data'!A190</f>
        <v>DS049</v>
      </c>
      <c r="B154" s="48" t="str">
        <f aca="false">'Assumptions &amp; Data'!B190</f>
        <v>Pune</v>
      </c>
      <c r="C154" s="48" t="str">
        <f aca="false">'Assumptions &amp; Data'!C190</f>
        <v>Peripheral / emerging</v>
      </c>
      <c r="D154" s="37" t="n">
        <f aca="false">'Assumptions &amp; Data'!D190</f>
        <v>27</v>
      </c>
      <c r="E154" s="39" t="n">
        <f aca="false">SUMIFS('Financial Analysis'!$E$71:$E$790,'Financial Analysis'!$B$71:$B$790,$A154,'Financial Analysis'!$C$71:$C$790,"&gt;="&amp;'Assumptions &amp; Data'!$C$62)/'Assumptions &amp; Data'!$C$63</f>
        <v>653.847826086957</v>
      </c>
      <c r="F154" s="40" t="n">
        <f aca="false">SUMIFS('Financial Analysis'!$H$71:$H$790,'Financial Analysis'!$B$71:$B$790,$A154,'Financial Analysis'!$C$71:$C$790,"&gt;="&amp;'Assumptions &amp; Data'!$C$62)/'Assumptions &amp; Data'!$C$85/100000</f>
        <v>105.4331370232</v>
      </c>
      <c r="G154" s="40" t="n">
        <f aca="false">SUMIFS('Financial Analysis'!$F$71:$F$790,'Financial Analysis'!$B$71:$B$790,$A154,'Financial Analysis'!$C$71:$C$790,"&gt;="&amp;'Assumptions &amp; Data'!$C$62)/SUMIFS('Financial Analysis'!$E$71:$E$790,'Financial Analysis'!$B$71:$B$790,$A154,'Financial Analysis'!$C$71:$C$790,"&gt;="&amp;'Assumptions &amp; Data'!$C$62)</f>
        <v>555.609173122319</v>
      </c>
      <c r="H154" s="49" t="n">
        <f aca="false">SUMIFS('Financial Analysis'!$G$71:$G$790,'Financial Analysis'!$B$71:$B$790,$A154,'Financial Analysis'!$C$71:$C$790,"&gt;="&amp;'Assumptions &amp; Data'!$C$62)/SUMIFS('Financial Analysis'!$F$71:$F$790,'Financial Analysis'!$B$71:$B$790,$A154,'Financial Analysis'!$C$71:$C$790,"&gt;="&amp;'Assumptions &amp; Data'!$C$62)</f>
        <v>0.0536223735672593</v>
      </c>
      <c r="I154" s="49" t="n">
        <f aca="false">SUMIFS('Financial Analysis'!$L$71:$L$790,'Financial Analysis'!$B$71:$B$790,$A154,'Financial Analysis'!$C$71:$C$790,"&gt;="&amp;'Assumptions &amp; Data'!$C$62)/SUMIFS('Financial Analysis'!$H$71:$H$790,'Financial Analysis'!$B$71:$B$790,$A154,'Financial Analysis'!$C$71:$C$790,"&gt;="&amp;'Assumptions &amp; Data'!$C$62)</f>
        <v>0.0222193660537574</v>
      </c>
      <c r="J154" s="40" t="n">
        <f aca="false">SUMIFS('Financial Analysis'!$N$71:$N$790,'Financial Analysis'!$B$71:$B$790,$A154,'Financial Analysis'!$C$71:$C$790,"&gt;="&amp;'Assumptions &amp; Data'!$C$62)/SUMIFS('Financial Analysis'!$E$71:$E$790,'Financial Analysis'!$B$71:$B$790,$A154,'Financial Analysis'!$C$71:$C$790,"&gt;="&amp;'Assumptions &amp; Data'!$C$62)</f>
        <v>41.9087219470027</v>
      </c>
      <c r="K154" s="40" t="n">
        <f aca="false">SUMIFS('Financial Analysis'!$R$71:$R$790,'Financial Analysis'!$B$71:$B$790,$A154,'Financial Analysis'!$C$71:$C$790,"&gt;="&amp;'Assumptions &amp; Data'!$C$62)/AVERAGEIFS('Assumptions &amp; Data'!$M$205:$M$924,'Assumptions &amp; Data'!$B$205:$B$924,$A154,'Assumptions &amp; Data'!$C$205:$C$924,"&gt;="&amp;'Assumptions &amp; Data'!$C$62)/'Assumptions &amp; Data'!$C$85</f>
        <v>19.000575958802</v>
      </c>
      <c r="L154" s="40" t="n">
        <f aca="false">E154/K154</f>
        <v>34.4120003259197</v>
      </c>
      <c r="M154" s="40" t="n">
        <f aca="false">SUMIFS('Financial Analysis'!$Q$71:$Q$790,'Financial Analysis'!$B$71:$B$790,$A154,'Financial Analysis'!$C$71:$C$790,"&gt;="&amp;'Assumptions &amp; Data'!$C$62)/SUMIFS('Financial Analysis'!$E$71:$E$790,'Financial Analysis'!$B$71:$B$790,$A154,'Financial Analysis'!$C$71:$C$790,"&gt;="&amp;'Assumptions &amp; Data'!$C$62)</f>
        <v>47.6132474843534</v>
      </c>
      <c r="N154" s="40" t="n">
        <f aca="false">SUMIFS('Financial Analysis'!$Y$71:$Y$790,'Financial Analysis'!$B$71:$B$790,$A154,'Financial Analysis'!$C$71:$C$790,"&gt;="&amp;'Assumptions &amp; Data'!$C$62)/'Assumptions &amp; Data'!$C$85/100000</f>
        <v>7.71531666666667</v>
      </c>
      <c r="O154" s="40" t="n">
        <f aca="false">SUMIFS('Financial Analysis'!$V$71:$V$790,'Financial Analysis'!$B$71:$B$790,$A154,'Financial Analysis'!$C$71:$C$790,"&gt;="&amp;'Assumptions &amp; Data'!$C$62)/'Assumptions &amp; Data'!$C$85/100000</f>
        <v>1.83177429724599</v>
      </c>
      <c r="P154" s="49" t="n">
        <f aca="false">O154/F154</f>
        <v>0.0173738005807692</v>
      </c>
      <c r="Q154" s="39" t="n">
        <f aca="false">IF(M154&gt;0,N154*100000/(M154*'Assumptions &amp; Data'!$C$63/'Assumptions &amp; Data'!$C$85),9999)</f>
        <v>528.395827497702</v>
      </c>
      <c r="R154" s="49" t="n">
        <f aca="false">E154/Q154-1</f>
        <v>0.237420494373226</v>
      </c>
      <c r="S154" s="50" t="n">
        <f aca="false">'Assumptions &amp; Data'!E190</f>
        <v>30.6</v>
      </c>
      <c r="T154" s="50" t="n">
        <f aca="false">'Assumptions &amp; Data'!G190</f>
        <v>3.3</v>
      </c>
      <c r="U154" s="49" t="n">
        <f aca="false">MAX(0,('Assumptions &amp; Data'!$C$72-T154)/'Assumptions &amp; Data'!$C$72)*'Assumptions &amp; Data'!$C$73</f>
        <v>0</v>
      </c>
      <c r="V154" s="39" t="n">
        <f aca="false">S154*$B$6*(1-U154)</f>
        <v>1090.01868688509</v>
      </c>
      <c r="W154" s="49" t="n">
        <f aca="false">V154/E154-1</f>
        <v>0.667083139831565</v>
      </c>
      <c r="X154" s="39" t="n">
        <f aca="false">IF(D154&gt;='Assumptions &amp; Data'!$C$64,1,0)</f>
        <v>1</v>
      </c>
      <c r="Y154" s="40" t="n">
        <f aca="false">IF(AND(X154=1,T154&gt;='Assumptions &amp; Data'!$C$72),E154/S154,"")</f>
        <v>21.3675760159136</v>
      </c>
      <c r="Z154" s="49" t="n">
        <f aca="false">IF(X154=1,H154,"")</f>
        <v>0.0536223735672593</v>
      </c>
      <c r="AA154" s="49" t="n">
        <f aca="false">IF(X154=1,I154,"")</f>
        <v>0.0222193660537574</v>
      </c>
      <c r="AB154" s="40" t="n">
        <f aca="false">IF(X154=1,J154,"")</f>
        <v>41.9087219470027</v>
      </c>
      <c r="AC154" s="40" t="n">
        <f aca="false">IF(X154=1,L154,"")</f>
        <v>34.4120003259197</v>
      </c>
      <c r="AD154" s="40" t="n">
        <f aca="false">IF(X154=1,AP154/E154*100,"")</f>
        <v>458.822355953054</v>
      </c>
      <c r="AE154" s="40" t="n">
        <f aca="false">IF(X154=1,M154,"")</f>
        <v>47.6132474843534</v>
      </c>
      <c r="AF154" s="40" t="n">
        <f aca="false">E154*'Assumptions &amp; Data'!$C$63/'Assumptions &amp; Data'!$C$85*G154/100000</f>
        <v>111.407047333333</v>
      </c>
      <c r="AG154" s="49" t="n">
        <f aca="false">MAX(0,H154-$B$7)</f>
        <v>0</v>
      </c>
      <c r="AH154" s="40" t="n">
        <f aca="false">AG154*AF154</f>
        <v>0</v>
      </c>
      <c r="AI154" s="40" t="n">
        <f aca="false">AG154*100*E154*'Assumptions &amp; Data'!$C$63/'Assumptions &amp; Data'!$C$85*M154/100000</f>
        <v>0</v>
      </c>
      <c r="AJ154" s="49" t="n">
        <f aca="false">MAX(0,I154-$B$8)</f>
        <v>0.000814772343470278</v>
      </c>
      <c r="AK154" s="40" t="n">
        <f aca="false">AJ154*F154</f>
        <v>0.0859040041318156</v>
      </c>
      <c r="AL154" s="40" t="n">
        <f aca="false">MAX(0,K154-E154/$B$10)</f>
        <v>1.86981491401675</v>
      </c>
      <c r="AM154" s="40" t="n">
        <f aca="false">AL154*BN154/K154</f>
        <v>0.367929713347457</v>
      </c>
      <c r="AN154" s="40" t="n">
        <f aca="false">MAX(0,J154-$B$9)</f>
        <v>3.70256535054193</v>
      </c>
      <c r="AO154" s="40" t="n">
        <f aca="false">AN154*E154*'Assumptions &amp; Data'!$C$63/'Assumptions &amp; Data'!$C$85/100000</f>
        <v>0.742413720321664</v>
      </c>
      <c r="AP154" s="37" t="n">
        <f aca="false">'Assumptions &amp; Data'!H190</f>
        <v>3000</v>
      </c>
      <c r="AQ154" s="39" t="n">
        <f aca="false">MIN(AP154,$B$11*E154/100)</f>
        <v>2512.32425244033</v>
      </c>
      <c r="AR154" s="39" t="n">
        <f aca="false">IF(AP154-AQ154&gt;'Assumptions &amp; Data'!$C$78*AP154,AP154-AQ154,0)</f>
        <v>487.675747559671</v>
      </c>
      <c r="AS154" s="50" t="n">
        <f aca="false">'Assumptions &amp; Data'!I190</f>
        <v>58</v>
      </c>
      <c r="AT154" s="40" t="n">
        <f aca="false">INDEX('Assumptions &amp; Data'!$B$89:$E$94,MATCH(B154,'Assumptions &amp; Data'!$A$89:$A$94,0),MATCH(C154,'Assumptions &amp; Data'!$B$88:$E$88,0))</f>
        <v>75</v>
      </c>
      <c r="AU154" s="39" t="n">
        <f aca="false">IF(BY154&lt;='Assumptions &amp; Data'!$C$79,1,0)</f>
        <v>1</v>
      </c>
      <c r="AV154" s="40" t="n">
        <f aca="false">AU154*(AR154*AS154+MAX(0,AS154-AT154)*(AP154-AR154))/100000</f>
        <v>0.282851933584609</v>
      </c>
      <c r="AW154" s="40" t="n">
        <f aca="false">'Assumptions &amp; Data'!$C$67*(AH154-'Assumptions &amp; Data'!$C$68*AI154+AK154+AM154+AO154+AV154)</f>
        <v>0.887459622831328</v>
      </c>
      <c r="AX154" s="40" t="n">
        <f aca="false">O154+AW154</f>
        <v>2.71923392007732</v>
      </c>
      <c r="AY154" s="49" t="n">
        <f aca="false">IF(D154&lt;'Assumptions &amp; Data'!$C$64,'Assumptions &amp; Data'!$C$70,'Assumptions &amp; Data'!$C$69)</f>
        <v>0.5</v>
      </c>
      <c r="AZ154" s="40" t="n">
        <f aca="false">AY154*MAX(0,V154-E154)*'Assumptions &amp; Data'!$C$63/'Assumptions &amp; Data'!$C$85*(M154-'Assumptions &amp; Data'!$C$71)/100000</f>
        <v>2.51555638834174</v>
      </c>
      <c r="BA154" s="40" t="n">
        <f aca="false">AX154+AZ154</f>
        <v>5.23479030841906</v>
      </c>
      <c r="BB154" s="40" t="n">
        <f aca="false">BA154+(1-'Assumptions &amp; Data'!$C$67)*AV154</f>
        <v>5.3479310818529</v>
      </c>
      <c r="BC154" s="48" t="str">
        <f aca="false">'Assumptions &amp; Data'!F190</f>
        <v>DS047</v>
      </c>
      <c r="BD154" s="39" t="n">
        <f aca="false">INDEX('Assumptions &amp; Data'!$K$142:$K$201,MATCH(BC154,'Assumptions &amp; Data'!$A$142:$A$201,0))*'Assumptions &amp; Data'!$C$77</f>
        <v>1620</v>
      </c>
      <c r="BE154" s="39" t="n">
        <f aca="false">MAX(0,BD154-INDEX($E$106:$E$165,MATCH(BC154,$A$106:$A$165,0)))</f>
        <v>319.54347826087</v>
      </c>
      <c r="BF154" s="39" t="n">
        <f aca="false">IF(T154&lt;='Assumptions &amp; Data'!$C$74,MIN('Assumptions &amp; Data'!$C$76*E154,BE154),0)</f>
        <v>0</v>
      </c>
      <c r="BG154" s="40" t="n">
        <f aca="false">-O154+BF154*'Assumptions &amp; Data'!$C$63/'Assumptions &amp; Data'!$C$85*($B$12-'Assumptions &amp; Data'!$C$71)/100000</f>
        <v>-1.83177429724599</v>
      </c>
      <c r="BH154" s="40" t="n">
        <f aca="false">(AS154*AP154*BY154*'Assumptions &amp; Data'!$C$82+K154*(BN154*100000/K154)*'Assumptions &amp; Data'!$C$80*(1-'Assumptions &amp; Data'!$C$81)+AP154*'Assumptions &amp; Data'!$C$83)/100000</f>
        <v>14.794926</v>
      </c>
      <c r="BI154" s="40" t="n">
        <f aca="false">'Assumptions &amp; Data'!L190*MAX(0,1-D154/'Assumptions &amp; Data'!$C$84)</f>
        <v>69.2142857142857</v>
      </c>
      <c r="BJ154" s="40" t="n">
        <f aca="false">IF(BG154&gt;0,BH154/BG154,99)</f>
        <v>99</v>
      </c>
      <c r="BK154" s="2" t="str">
        <f aca="false">IF(AND(P154&gt;='Assumptions &amp; Data'!$C$65,R154&gt;=0,W154&gt;='Assumptions &amp; Data'!$C$66),"Scale",IF(OR(O154&gt;=0,AX154&gt;=0),"Optimise",IF(BA154&gt;=0,"Turn around",IF(BB154&gt;=0,"Relocate or resize",IF(AND(BF154&gt;0,BJ154&lt;='Assumptions &amp; Data'!$C$75,D154&gt;='Assumptions &amp; Data'!$C$64),"Close","Relocate or resize")))))</f>
        <v>Optimise</v>
      </c>
      <c r="BL154" s="42" t="str">
        <f aca="false">INDEX($BK$106:$BK$165,MATCH(BC154,$A$106:$A$165,0))</f>
        <v>Scale</v>
      </c>
      <c r="BM154" s="42" t="str">
        <f aca="false">IF(RANK(P154,$P$106:$P$165)&lt;=ROUND(COUNT($P$106:$P$165)/4,0),"Q1 top",IF(RANK(P154,$P$106:$P$165)&gt;COUNT($P$106:$P$165)-ROUND(COUNT($P$106:$P$165)/4,0),"Q4 bottom","Q2-Q3 middle"))</f>
        <v>Q2-Q3 middle</v>
      </c>
      <c r="BN154" s="40" t="n">
        <f aca="false">SUMIFS('Financial Analysis'!$R$71:$R$790,'Financial Analysis'!$B$71:$B$790,$A154,'Financial Analysis'!$C$71:$C$790,"&gt;="&amp;'Assumptions &amp; Data'!$C$62)/'Assumptions &amp; Data'!$C$85/100000</f>
        <v>3.73880666666667</v>
      </c>
      <c r="BO154" s="40" t="n">
        <f aca="false">SUMIFS('Financial Analysis'!$H$71:$H$790,'Financial Analysis'!$B$71:$B$790,$A154,'Financial Analysis'!$C$71:$C$790,"&gt;="&amp;'Assumptions &amp; Data'!$C$62)/SUMIFS('Financial Analysis'!$E$71:$E$790,'Financial Analysis'!$B$71:$B$790,$A154,'Financial Analysis'!$C$71:$C$790,"&gt;="&amp;'Assumptions &amp; Data'!$C$62)</f>
        <v>525.816090483758</v>
      </c>
      <c r="BP154" s="40" t="n">
        <f aca="false">(SUMIFS('Financial Analysis'!$I$71:$I$790,'Financial Analysis'!$B$71:$B$790,$A154,'Financial Analysis'!$C$71:$C$790,"&gt;="&amp;'Assumptions &amp; Data'!$C$62)+SUMIFS('Financial Analysis'!$J$71:$J$790,'Financial Analysis'!$B$71:$B$790,$A154,'Financial Analysis'!$C$71:$C$790,"&gt;="&amp;'Assumptions &amp; Data'!$C$62)+SUMIFS('Financial Analysis'!$K$71:$K$790,'Financial Analysis'!$B$71:$B$790,$A154,'Financial Analysis'!$C$71:$C$790,"&gt;="&amp;'Assumptions &amp; Data'!$C$62))/SUMIFS('Financial Analysis'!$E$71:$E$790,'Financial Analysis'!$B$71:$B$790,$A154,'Financial Analysis'!$C$71:$C$790,"&gt;="&amp;'Assumptions &amp; Data'!$C$62)</f>
        <v>116.296433529352</v>
      </c>
      <c r="BQ154" s="40" t="n">
        <f aca="false">SUMIFS('Financial Analysis'!$L$71:$L$790,'Financial Analysis'!$B$71:$B$790,$A154,'Financial Analysis'!$C$71:$C$790,"&gt;="&amp;'Assumptions &amp; Data'!$C$62)/SUMIFS('Financial Analysis'!$E$71:$E$790,'Financial Analysis'!$B$71:$B$790,$A154,'Financial Analysis'!$C$71:$C$790,"&gt;="&amp;'Assumptions &amp; Data'!$C$62)</f>
        <v>11.6833001914142</v>
      </c>
      <c r="BR154" s="40" t="n">
        <f aca="false">SUMIFS('Financial Analysis'!$L$71:$L$790,'Financial Analysis'!$B$71:$B$790,$A154,'Financial Analysis'!$C$71:$C$790,"&gt;="&amp;'Assumptions &amp; Data'!$C$62)/SUMIFS('Financial Analysis'!$E$71:$E$790,'Financial Analysis'!$B$71:$B$790,$A154,'Financial Analysis'!$C$71:$C$790,"&gt;="&amp;'Assumptions &amp; Data'!$C$62)</f>
        <v>11.6833001914142</v>
      </c>
      <c r="BS154" s="40" t="n">
        <f aca="false">SUMIFS('Financial Analysis'!$N$71:$N$790,'Financial Analysis'!$B$71:$B$790,$A154,'Financial Analysis'!$C$71:$C$790,"&gt;="&amp;'Assumptions &amp; Data'!$C$62)/SUMIFS('Financial Analysis'!$E$71:$E$790,'Financial Analysis'!$B$71:$B$790,$A154,'Financial Analysis'!$C$71:$C$790,"&gt;="&amp;'Assumptions &amp; Data'!$C$62)</f>
        <v>41.9087219470027</v>
      </c>
      <c r="BT154" s="40" t="n">
        <f aca="false">(SUMIFS('Financial Analysis'!$O$71:$O$790,'Financial Analysis'!$B$71:$B$790,$A154,'Financial Analysis'!$C$71:$C$790,"&gt;="&amp;'Assumptions &amp; Data'!$C$62)+SUMIFS('Financial Analysis'!$P$71:$P$790,'Financial Analysis'!$B$71:$B$790,$A154,'Financial Analysis'!$C$71:$C$790,"&gt;="&amp;'Assumptions &amp; Data'!$C$62))/SUMIFS('Financial Analysis'!$E$71:$E$790,'Financial Analysis'!$B$71:$B$790,$A154,'Financial Analysis'!$C$71:$C$790,"&gt;="&amp;'Assumptions &amp; Data'!$C$62)</f>
        <v>15.091163906582</v>
      </c>
      <c r="BU154" s="40" t="n">
        <f aca="false">SUMIFS('Financial Analysis'!$R$71:$R$790,'Financial Analysis'!$B$71:$B$790,$A154,'Financial Analysis'!$C$71:$C$790,"&gt;="&amp;'Assumptions &amp; Data'!$C$62)/SUMIFS('Financial Analysis'!$E$71:$E$790,'Financial Analysis'!$B$71:$B$790,$A154,'Financial Analysis'!$C$71:$C$790,"&gt;="&amp;'Assumptions &amp; Data'!$C$62)</f>
        <v>18.6461748179672</v>
      </c>
      <c r="BV154" s="40" t="n">
        <f aca="false">SUMIFS('Financial Analysis'!$S$71:$S$790,'Financial Analysis'!$B$71:$B$790,$A154,'Financial Analysis'!$C$71:$C$790,"&gt;="&amp;'Assumptions &amp; Data'!$C$62)/SUMIFS('Financial Analysis'!$E$71:$E$790,'Financial Analysis'!$B$71:$B$790,$A154,'Financial Analysis'!$C$71:$C$790,"&gt;="&amp;'Assumptions &amp; Data'!$C$62)</f>
        <v>8.67772716693819</v>
      </c>
      <c r="BW154" s="40" t="n">
        <f aca="false">(SUMIFS('Financial Analysis'!$T$71:$T$790,'Financial Analysis'!$B$71:$B$790,$A154,'Financial Analysis'!$C$71:$C$790,"&gt;="&amp;'Assumptions &amp; Data'!$C$62)+SUMIFS('Financial Analysis'!$U$71:$U$790,'Financial Analysis'!$B$71:$B$790,$A154,'Financial Analysis'!$C$71:$C$790,"&gt;="&amp;'Assumptions &amp; Data'!$C$62))/SUMIFS('Financial Analysis'!$E$71:$E$790,'Financial Analysis'!$B$71:$B$790,$A154,'Financial Analysis'!$C$71:$C$790,"&gt;="&amp;'Assumptions &amp; Data'!$C$62)</f>
        <v>11.1539216012235</v>
      </c>
      <c r="BX154" s="40" t="n">
        <f aca="false">SUMIFS('Financial Analysis'!$V$71:$V$790,'Financial Analysis'!$B$71:$B$790,$A154,'Financial Analysis'!$C$71:$C$790,"&gt;="&amp;'Assumptions &amp; Data'!$C$62)/SUMIFS('Financial Analysis'!$E$71:$E$790,'Financial Analysis'!$B$71:$B$790,$A154,'Financial Analysis'!$C$71:$C$790,"&gt;="&amp;'Assumptions &amp; Data'!$C$62)</f>
        <v>9.13542389822449</v>
      </c>
      <c r="BY154" s="37" t="n">
        <f aca="false">'Assumptions &amp; Data'!J190</f>
        <v>9</v>
      </c>
      <c r="BZ154" s="39" t="str">
        <f aca="false">IF(BK154="Close",COUNTIF($BK$106:BK154,"Close"),"")</f>
        <v/>
      </c>
    </row>
    <row r="155" customFormat="false" ht="15" hidden="false" customHeight="false" outlineLevel="0" collapsed="false">
      <c r="A155" s="48" t="str">
        <f aca="false">'Assumptions &amp; Data'!A191</f>
        <v>DS050</v>
      </c>
      <c r="B155" s="48" t="str">
        <f aca="false">'Assumptions &amp; Data'!B191</f>
        <v>Pune</v>
      </c>
      <c r="C155" s="48" t="str">
        <f aca="false">'Assumptions &amp; Data'!C191</f>
        <v>Mixed use</v>
      </c>
      <c r="D155" s="37" t="n">
        <f aca="false">'Assumptions &amp; Data'!D191</f>
        <v>8</v>
      </c>
      <c r="E155" s="39" t="n">
        <f aca="false">SUMIFS('Financial Analysis'!$E$71:$E$790,'Financial Analysis'!$B$71:$B$790,$A155,'Financial Analysis'!$C$71:$C$790,"&gt;="&amp;'Assumptions &amp; Data'!$C$62)/'Assumptions &amp; Data'!$C$63</f>
        <v>685.489130434783</v>
      </c>
      <c r="F155" s="40" t="n">
        <f aca="false">SUMIFS('Financial Analysis'!$H$71:$H$790,'Financial Analysis'!$B$71:$B$790,$A155,'Financial Analysis'!$C$71:$C$790,"&gt;="&amp;'Assumptions &amp; Data'!$C$62)/'Assumptions &amp; Data'!$C$85/100000</f>
        <v>120.628068538833</v>
      </c>
      <c r="G155" s="40" t="n">
        <f aca="false">SUMIFS('Financial Analysis'!$F$71:$F$790,'Financial Analysis'!$B$71:$B$790,$A155,'Financial Analysis'!$C$71:$C$790,"&gt;="&amp;'Assumptions &amp; Data'!$C$62)/SUMIFS('Financial Analysis'!$E$71:$E$790,'Financial Analysis'!$B$71:$B$790,$A155,'Financial Analysis'!$C$71:$C$790,"&gt;="&amp;'Assumptions &amp; Data'!$C$62)</f>
        <v>612.296692301594</v>
      </c>
      <c r="H155" s="49" t="n">
        <f aca="false">SUMIFS('Financial Analysis'!$G$71:$G$790,'Financial Analysis'!$B$71:$B$790,$A155,'Financial Analysis'!$C$71:$C$790,"&gt;="&amp;'Assumptions &amp; Data'!$C$62)/SUMIFS('Financial Analysis'!$F$71:$F$790,'Financial Analysis'!$B$71:$B$790,$A155,'Financial Analysis'!$C$71:$C$790,"&gt;="&amp;'Assumptions &amp; Data'!$C$62)</f>
        <v>0.0628279767984718</v>
      </c>
      <c r="I155" s="49" t="n">
        <f aca="false">SUMIFS('Financial Analysis'!$L$71:$L$790,'Financial Analysis'!$B$71:$B$790,$A155,'Financial Analysis'!$C$71:$C$790,"&gt;="&amp;'Assumptions &amp; Data'!$C$62)/SUMIFS('Financial Analysis'!$H$71:$H$790,'Financial Analysis'!$B$71:$B$790,$A155,'Financial Analysis'!$C$71:$C$790,"&gt;="&amp;'Assumptions &amp; Data'!$C$62)</f>
        <v>0.0348325102561347</v>
      </c>
      <c r="J155" s="40" t="n">
        <f aca="false">SUMIFS('Financial Analysis'!$N$71:$N$790,'Financial Analysis'!$B$71:$B$790,$A155,'Financial Analysis'!$C$71:$C$790,"&gt;="&amp;'Assumptions &amp; Data'!$C$62)/SUMIFS('Financial Analysis'!$E$71:$E$790,'Financial Analysis'!$B$71:$B$790,$A155,'Financial Analysis'!$C$71:$C$790,"&gt;="&amp;'Assumptions &amp; Data'!$C$62)</f>
        <v>40.7634537382066</v>
      </c>
      <c r="K155" s="40" t="n">
        <f aca="false">SUMIFS('Financial Analysis'!$R$71:$R$790,'Financial Analysis'!$B$71:$B$790,$A155,'Financial Analysis'!$C$71:$C$790,"&gt;="&amp;'Assumptions &amp; Data'!$C$62)/AVERAGEIFS('Assumptions &amp; Data'!$M$205:$M$924,'Assumptions &amp; Data'!$B$205:$B$924,$A155,'Assumptions &amp; Data'!$C$205:$C$924,"&gt;="&amp;'Assumptions &amp; Data'!$C$62)/'Assumptions &amp; Data'!$C$85</f>
        <v>16.3336326060442</v>
      </c>
      <c r="L155" s="40" t="n">
        <f aca="false">E155/K155</f>
        <v>41.9679533003039</v>
      </c>
      <c r="M155" s="40" t="n">
        <f aca="false">SUMIFS('Financial Analysis'!$Q$71:$Q$790,'Financial Analysis'!$B$71:$B$790,$A155,'Financial Analysis'!$C$71:$C$790,"&gt;="&amp;'Assumptions &amp; Data'!$C$62)/SUMIFS('Financial Analysis'!$E$71:$E$790,'Financial Analysis'!$B$71:$B$790,$A155,'Financial Analysis'!$C$71:$C$790,"&gt;="&amp;'Assumptions &amp; Data'!$C$62)</f>
        <v>46.5163652337789</v>
      </c>
      <c r="N155" s="40" t="n">
        <f aca="false">SUMIFS('Financial Analysis'!$Y$71:$Y$790,'Financial Analysis'!$B$71:$B$790,$A155,'Financial Analysis'!$C$71:$C$790,"&gt;="&amp;'Assumptions &amp; Data'!$C$62)/'Assumptions &amp; Data'!$C$85/100000</f>
        <v>11.0672166666667</v>
      </c>
      <c r="O155" s="40" t="n">
        <f aca="false">SUMIFS('Financial Analysis'!$V$71:$V$790,'Financial Analysis'!$B$71:$B$790,$A155,'Financial Analysis'!$C$71:$C$790,"&gt;="&amp;'Assumptions &amp; Data'!$C$62)/'Assumptions &amp; Data'!$C$85/100000</f>
        <v>-1.28870142177245</v>
      </c>
      <c r="P155" s="49" t="n">
        <f aca="false">O155/F155</f>
        <v>-0.0106832633348314</v>
      </c>
      <c r="Q155" s="39" t="n">
        <f aca="false">IF(M155&gt;0,N155*100000/(M155*'Assumptions &amp; Data'!$C$63/'Assumptions &amp; Data'!$C$85),9999)</f>
        <v>775.829104845737</v>
      </c>
      <c r="R155" s="49" t="n">
        <f aca="false">E155/Q155-1</f>
        <v>-0.116443136570543</v>
      </c>
      <c r="S155" s="50" t="n">
        <f aca="false">'Assumptions &amp; Data'!E191</f>
        <v>40.4</v>
      </c>
      <c r="T155" s="50" t="n">
        <f aca="false">'Assumptions &amp; Data'!G191</f>
        <v>1.4</v>
      </c>
      <c r="U155" s="49" t="n">
        <f aca="false">MAX(0,('Assumptions &amp; Data'!$C$72-T155)/'Assumptions &amp; Data'!$C$72)*'Assumptions &amp; Data'!$C$73</f>
        <v>0.0333333333333334</v>
      </c>
      <c r="V155" s="39" t="n">
        <f aca="false">S155*$B$6*(1-U155)</f>
        <v>1391.13931759757</v>
      </c>
      <c r="W155" s="49" t="n">
        <f aca="false">V155/E155-1</f>
        <v>1.02941119827125</v>
      </c>
      <c r="X155" s="39" t="n">
        <f aca="false">IF(D155&gt;='Assumptions &amp; Data'!$C$64,1,0)</f>
        <v>0</v>
      </c>
      <c r="Y155" s="40" t="str">
        <f aca="false">IF(AND(X155=1,T155&gt;='Assumptions &amp; Data'!$C$72),E155/S155,"")</f>
        <v/>
      </c>
      <c r="Z155" s="49" t="str">
        <f aca="false">IF(X155=1,H155,"")</f>
        <v/>
      </c>
      <c r="AA155" s="49" t="str">
        <f aca="false">IF(X155=1,I155,"")</f>
        <v/>
      </c>
      <c r="AB155" s="40" t="str">
        <f aca="false">IF(X155=1,J155,"")</f>
        <v/>
      </c>
      <c r="AC155" s="40" t="str">
        <f aca="false">IF(X155=1,L155,"")</f>
        <v/>
      </c>
      <c r="AD155" s="40" t="str">
        <f aca="false">IF(X155=1,AP155/E155*100,"")</f>
        <v/>
      </c>
      <c r="AE155" s="40" t="str">
        <f aca="false">IF(X155=1,M155,"")</f>
        <v/>
      </c>
      <c r="AF155" s="40" t="n">
        <f aca="false">E155*'Assumptions &amp; Data'!$C$63/'Assumptions &amp; Data'!$C$85*G155/100000</f>
        <v>128.714969666667</v>
      </c>
      <c r="AG155" s="49" t="n">
        <f aca="false">MAX(0,H155-$B$7)</f>
        <v>0.00802287679521499</v>
      </c>
      <c r="AH155" s="40" t="n">
        <f aca="false">AG155*AF155</f>
        <v>1.0326643433355</v>
      </c>
      <c r="AI155" s="40" t="n">
        <f aca="false">AG155*100*E155*'Assumptions &amp; Data'!$C$63/'Assumptions &amp; Data'!$C$85*M155/100000</f>
        <v>7.84518230499178</v>
      </c>
      <c r="AJ155" s="49" t="n">
        <f aca="false">MAX(0,I155-$B$8)</f>
        <v>0.0134279165458476</v>
      </c>
      <c r="AK155" s="40" t="n">
        <f aca="false">AJ155*F155</f>
        <v>1.61978363742624</v>
      </c>
      <c r="AL155" s="40" t="n">
        <f aca="false">MAX(0,K155-E155/$B$10)</f>
        <v>0</v>
      </c>
      <c r="AM155" s="40" t="n">
        <f aca="false">AL155*BN155/K155</f>
        <v>0</v>
      </c>
      <c r="AN155" s="40" t="n">
        <f aca="false">MAX(0,J155-$B$9)</f>
        <v>2.55729714174586</v>
      </c>
      <c r="AO155" s="40" t="n">
        <f aca="false">AN155*E155*'Assumptions &amp; Data'!$C$63/'Assumptions &amp; Data'!$C$85/100000</f>
        <v>0.537586480814008</v>
      </c>
      <c r="AP155" s="37" t="n">
        <f aca="false">'Assumptions &amp; Data'!H191</f>
        <v>3500</v>
      </c>
      <c r="AQ155" s="39" t="n">
        <f aca="false">MIN(AP155,$B$11*E155/100)</f>
        <v>2633.90180171143</v>
      </c>
      <c r="AR155" s="39" t="n">
        <f aca="false">IF(AP155-AQ155&gt;'Assumptions &amp; Data'!$C$78*AP155,AP155-AQ155,0)</f>
        <v>866.09819828857</v>
      </c>
      <c r="AS155" s="50" t="n">
        <f aca="false">'Assumptions &amp; Data'!I191</f>
        <v>112</v>
      </c>
      <c r="AT155" s="40" t="n">
        <f aca="false">INDEX('Assumptions &amp; Data'!$B$89:$E$94,MATCH(B155,'Assumptions &amp; Data'!$A$89:$A$94,0),MATCH(C155,'Assumptions &amp; Data'!$B$88:$E$88,0))</f>
        <v>117</v>
      </c>
      <c r="AU155" s="39" t="n">
        <f aca="false">IF(BY155&lt;='Assumptions &amp; Data'!$C$79,1,0)</f>
        <v>0</v>
      </c>
      <c r="AV155" s="40" t="n">
        <f aca="false">AU155*(AR155*AS155+MAX(0,AS155-AT155)*(AP155-AR155))/100000</f>
        <v>0</v>
      </c>
      <c r="AW155" s="40" t="n">
        <f aca="false">'Assumptions &amp; Data'!$C$67*(AH155-'Assumptions &amp; Data'!$C$68*AI155+AK155+AM155+AO155+AV155)</f>
        <v>1.8669495831155</v>
      </c>
      <c r="AX155" s="40" t="n">
        <f aca="false">O155+AW155</f>
        <v>0.578248161343045</v>
      </c>
      <c r="AY155" s="49" t="n">
        <f aca="false">IF(D155&lt;'Assumptions &amp; Data'!$C$64,'Assumptions &amp; Data'!$C$70,'Assumptions &amp; Data'!$C$69)</f>
        <v>0.8</v>
      </c>
      <c r="AZ155" s="40" t="n">
        <f aca="false">AY155*MAX(0,V155-E155)*'Assumptions &amp; Data'!$C$63/'Assumptions &amp; Data'!$C$85*(M155-'Assumptions &amp; Data'!$C$71)/100000</f>
        <v>6.3216953506088</v>
      </c>
      <c r="BA155" s="40" t="n">
        <f aca="false">AX155+AZ155</f>
        <v>6.89994351195185</v>
      </c>
      <c r="BB155" s="40" t="n">
        <f aca="false">BA155+(1-'Assumptions &amp; Data'!$C$67)*AV155</f>
        <v>6.89994351195185</v>
      </c>
      <c r="BC155" s="48" t="str">
        <f aca="false">'Assumptions &amp; Data'!F191</f>
        <v>DS054</v>
      </c>
      <c r="BD155" s="39" t="n">
        <f aca="false">INDEX('Assumptions &amp; Data'!$K$142:$K$201,MATCH(BC155,'Assumptions &amp; Data'!$A$142:$A$201,0))*'Assumptions &amp; Data'!$C$77</f>
        <v>1296</v>
      </c>
      <c r="BE155" s="39" t="n">
        <f aca="false">MAX(0,BD155-INDEX($E$106:$E$165,MATCH(BC155,$A$106:$A$165,0)))</f>
        <v>996.173913043478</v>
      </c>
      <c r="BF155" s="39" t="n">
        <f aca="false">IF(T155&lt;='Assumptions &amp; Data'!$C$74,MIN('Assumptions &amp; Data'!$C$76*E155,BE155),0)</f>
        <v>411.29347826087</v>
      </c>
      <c r="BG155" s="40" t="n">
        <f aca="false">-O155+BF155*'Assumptions &amp; Data'!$C$63/'Assumptions &amp; Data'!$C$85*($B$12-'Assumptions &amp; Data'!$C$71)/100000</f>
        <v>8.19268340769365</v>
      </c>
      <c r="BH155" s="40" t="n">
        <f aca="false">(AS155*AP155*BY155*'Assumptions &amp; Data'!$C$82+K155*(BN155*100000/K155)*'Assumptions &amp; Data'!$C$80*(1-'Assumptions &amp; Data'!$C$81)+AP155*'Assumptions &amp; Data'!$C$83)/100000</f>
        <v>77.652621</v>
      </c>
      <c r="BI155" s="40" t="n">
        <f aca="false">'Assumptions &amp; Data'!L191*MAX(0,1-D155/'Assumptions &amp; Data'!$C$84)</f>
        <v>107.666666666667</v>
      </c>
      <c r="BJ155" s="40" t="n">
        <f aca="false">IF(BG155&gt;0,BH155/BG155,99)</f>
        <v>9.4782889971163</v>
      </c>
      <c r="BK155" s="2" t="str">
        <f aca="false">IF(AND(P155&gt;='Assumptions &amp; Data'!$C$65,R155&gt;=0,W155&gt;='Assumptions &amp; Data'!$C$66),"Scale",IF(OR(O155&gt;=0,AX155&gt;=0),"Optimise",IF(BA155&gt;=0,"Turn around",IF(BB155&gt;=0,"Relocate or resize",IF(AND(BF155&gt;0,BJ155&lt;='Assumptions &amp; Data'!$C$75,D155&gt;='Assumptions &amp; Data'!$C$64),"Close","Relocate or resize")))))</f>
        <v>Optimise</v>
      </c>
      <c r="BL155" s="42" t="str">
        <f aca="false">INDEX($BK$106:$BK$165,MATCH(BC155,$A$106:$A$165,0))</f>
        <v>Relocate or resize</v>
      </c>
      <c r="BM155" s="42" t="str">
        <f aca="false">IF(RANK(P155,$P$106:$P$165)&lt;=ROUND(COUNT($P$106:$P$165)/4,0),"Q1 top",IF(RANK(P155,$P$106:$P$165)&gt;COUNT($P$106:$P$165)-ROUND(COUNT($P$106:$P$165)/4,0),"Q4 bottom","Q2-Q3 middle"))</f>
        <v>Q2-Q3 middle</v>
      </c>
      <c r="BN155" s="40" t="n">
        <f aca="false">SUMIFS('Financial Analysis'!$R$71:$R$790,'Financial Analysis'!$B$71:$B$790,$A155,'Financial Analysis'!$C$71:$C$790,"&gt;="&amp;'Assumptions &amp; Data'!$C$62)/'Assumptions &amp; Data'!$C$85/100000</f>
        <v>3.21402333333333</v>
      </c>
      <c r="BO155" s="40" t="n">
        <f aca="false">SUMIFS('Financial Analysis'!$H$71:$H$790,'Financial Analysis'!$B$71:$B$790,$A155,'Financial Analysis'!$C$71:$C$790,"&gt;="&amp;'Assumptions &amp; Data'!$C$62)/SUMIFS('Financial Analysis'!$E$71:$E$790,'Financial Analysis'!$B$71:$B$790,$A155,'Financial Analysis'!$C$71:$C$790,"&gt;="&amp;'Assumptions &amp; Data'!$C$62)</f>
        <v>573.827329923888</v>
      </c>
      <c r="BP155" s="40" t="n">
        <f aca="false">(SUMIFS('Financial Analysis'!$I$71:$I$790,'Financial Analysis'!$B$71:$B$790,$A155,'Financial Analysis'!$C$71:$C$790,"&gt;="&amp;'Assumptions &amp; Data'!$C$62)+SUMIFS('Financial Analysis'!$J$71:$J$790,'Financial Analysis'!$B$71:$B$790,$A155,'Financial Analysis'!$C$71:$C$790,"&gt;="&amp;'Assumptions &amp; Data'!$C$62)+SUMIFS('Financial Analysis'!$K$71:$K$790,'Financial Analysis'!$B$71:$B$790,$A155,'Financial Analysis'!$C$71:$C$790,"&gt;="&amp;'Assumptions &amp; Data'!$C$62))/SUMIFS('Financial Analysis'!$E$71:$E$790,'Financial Analysis'!$B$71:$B$790,$A155,'Financial Analysis'!$C$71:$C$790,"&gt;="&amp;'Assumptions &amp; Data'!$C$62)</f>
        <v>122.828058723208</v>
      </c>
      <c r="BQ155" s="40" t="n">
        <f aca="false">SUMIFS('Financial Analysis'!$L$71:$L$790,'Financial Analysis'!$B$71:$B$790,$A155,'Financial Analysis'!$C$71:$C$790,"&gt;="&amp;'Assumptions &amp; Data'!$C$62)/SUMIFS('Financial Analysis'!$E$71:$E$790,'Financial Analysis'!$B$71:$B$790,$A155,'Financial Analysis'!$C$71:$C$790,"&gt;="&amp;'Assumptions &amp; Data'!$C$62)</f>
        <v>19.9878463548242</v>
      </c>
      <c r="BR155" s="40" t="n">
        <f aca="false">SUMIFS('Financial Analysis'!$L$71:$L$790,'Financial Analysis'!$B$71:$B$790,$A155,'Financial Analysis'!$C$71:$C$790,"&gt;="&amp;'Assumptions &amp; Data'!$C$62)/SUMIFS('Financial Analysis'!$E$71:$E$790,'Financial Analysis'!$B$71:$B$790,$A155,'Financial Analysis'!$C$71:$C$790,"&gt;="&amp;'Assumptions &amp; Data'!$C$62)</f>
        <v>19.9878463548242</v>
      </c>
      <c r="BS155" s="40" t="n">
        <f aca="false">SUMIFS('Financial Analysis'!$N$71:$N$790,'Financial Analysis'!$B$71:$B$790,$A155,'Financial Analysis'!$C$71:$C$790,"&gt;="&amp;'Assumptions &amp; Data'!$C$62)/SUMIFS('Financial Analysis'!$E$71:$E$790,'Financial Analysis'!$B$71:$B$790,$A155,'Financial Analysis'!$C$71:$C$790,"&gt;="&amp;'Assumptions &amp; Data'!$C$62)</f>
        <v>40.7634537382066</v>
      </c>
      <c r="BT155" s="40" t="n">
        <f aca="false">(SUMIFS('Financial Analysis'!$O$71:$O$790,'Financial Analysis'!$B$71:$B$790,$A155,'Financial Analysis'!$C$71:$C$790,"&gt;="&amp;'Assumptions &amp; Data'!$C$62)+SUMIFS('Financial Analysis'!$P$71:$P$790,'Financial Analysis'!$B$71:$B$790,$A155,'Financial Analysis'!$C$71:$C$790,"&gt;="&amp;'Assumptions &amp; Data'!$C$62))/SUMIFS('Financial Analysis'!$E$71:$E$790,'Financial Analysis'!$B$71:$B$790,$A155,'Financial Analysis'!$C$71:$C$790,"&gt;="&amp;'Assumptions &amp; Data'!$C$62)</f>
        <v>15.5603933963986</v>
      </c>
      <c r="BU155" s="40" t="n">
        <f aca="false">SUMIFS('Financial Analysis'!$R$71:$R$790,'Financial Analysis'!$B$71:$B$790,$A155,'Financial Analysis'!$C$71:$C$790,"&gt;="&amp;'Assumptions &amp; Data'!$C$62)/SUMIFS('Financial Analysis'!$E$71:$E$790,'Financial Analysis'!$B$71:$B$790,$A155,'Financial Analysis'!$C$71:$C$790,"&gt;="&amp;'Assumptions &amp; Data'!$C$62)</f>
        <v>15.289098549116</v>
      </c>
      <c r="BV155" s="40" t="n">
        <f aca="false">SUMIFS('Financial Analysis'!$S$71:$S$790,'Financial Analysis'!$B$71:$B$790,$A155,'Financial Analysis'!$C$71:$C$790,"&gt;="&amp;'Assumptions &amp; Data'!$C$62)/SUMIFS('Financial Analysis'!$E$71:$E$790,'Financial Analysis'!$B$71:$B$790,$A155,'Financial Analysis'!$C$71:$C$790,"&gt;="&amp;'Assumptions &amp; Data'!$C$62)</f>
        <v>18.6474272575914</v>
      </c>
      <c r="BW155" s="40" t="n">
        <f aca="false">(SUMIFS('Financial Analysis'!$T$71:$T$790,'Financial Analysis'!$B$71:$B$790,$A155,'Financial Analysis'!$C$71:$C$790,"&gt;="&amp;'Assumptions &amp; Data'!$C$62)+SUMIFS('Financial Analysis'!$U$71:$U$790,'Financial Analysis'!$B$71:$B$790,$A155,'Financial Analysis'!$C$71:$C$790,"&gt;="&amp;'Assumptions &amp; Data'!$C$62))/SUMIFS('Financial Analysis'!$E$71:$E$790,'Financial Analysis'!$B$71:$B$790,$A155,'Financial Analysis'!$C$71:$C$790,"&gt;="&amp;'Assumptions &amp; Data'!$C$62)</f>
        <v>18.7101879013716</v>
      </c>
      <c r="BX155" s="40" t="n">
        <f aca="false">SUMIFS('Financial Analysis'!$V$71:$V$790,'Financial Analysis'!$B$71:$B$790,$A155,'Financial Analysis'!$C$71:$C$790,"&gt;="&amp;'Assumptions &amp; Data'!$C$62)/SUMIFS('Financial Analysis'!$E$71:$E$790,'Financial Analysis'!$B$71:$B$790,$A155,'Financial Analysis'!$C$71:$C$790,"&gt;="&amp;'Assumptions &amp; Data'!$C$62)</f>
        <v>-6.1303484743001</v>
      </c>
      <c r="BY155" s="37" t="n">
        <f aca="false">'Assumptions &amp; Data'!J191</f>
        <v>36</v>
      </c>
      <c r="BZ155" s="39" t="str">
        <f aca="false">IF(BK155="Close",COUNTIF($BK$106:BK155,"Close"),"")</f>
        <v/>
      </c>
    </row>
    <row r="156" customFormat="false" ht="15" hidden="false" customHeight="false" outlineLevel="0" collapsed="false">
      <c r="A156" s="48" t="str">
        <f aca="false">'Assumptions &amp; Data'!A192</f>
        <v>DS051</v>
      </c>
      <c r="B156" s="48" t="str">
        <f aca="false">'Assumptions &amp; Data'!B192</f>
        <v>Pune</v>
      </c>
      <c r="C156" s="48" t="str">
        <f aca="false">'Assumptions &amp; Data'!C192</f>
        <v>Commercial / office</v>
      </c>
      <c r="D156" s="37" t="n">
        <f aca="false">'Assumptions &amp; Data'!D192</f>
        <v>18</v>
      </c>
      <c r="E156" s="39" t="n">
        <f aca="false">SUMIFS('Financial Analysis'!$E$71:$E$790,'Financial Analysis'!$B$71:$B$790,$A156,'Financial Analysis'!$C$71:$C$790,"&gt;="&amp;'Assumptions &amp; Data'!$C$62)/'Assumptions &amp; Data'!$C$63</f>
        <v>1122.96739130435</v>
      </c>
      <c r="F156" s="40" t="n">
        <f aca="false">SUMIFS('Financial Analysis'!$H$71:$H$790,'Financial Analysis'!$B$71:$B$790,$A156,'Financial Analysis'!$C$71:$C$790,"&gt;="&amp;'Assumptions &amp; Data'!$C$62)/'Assumptions &amp; Data'!$C$85/100000</f>
        <v>182.024499538</v>
      </c>
      <c r="G156" s="40" t="n">
        <f aca="false">SUMIFS('Financial Analysis'!$F$71:$F$790,'Financial Analysis'!$B$71:$B$790,$A156,'Financial Analysis'!$C$71:$C$790,"&gt;="&amp;'Assumptions &amp; Data'!$C$62)/SUMIFS('Financial Analysis'!$E$71:$E$790,'Financial Analysis'!$B$71:$B$790,$A156,'Financial Analysis'!$C$71:$C$790,"&gt;="&amp;'Assumptions &amp; Data'!$C$62)</f>
        <v>559.414373796134</v>
      </c>
      <c r="H156" s="49" t="n">
        <f aca="false">SUMIFS('Financial Analysis'!$G$71:$G$790,'Financial Analysis'!$B$71:$B$790,$A156,'Financial Analysis'!$C$71:$C$790,"&gt;="&amp;'Assumptions &amp; Data'!$C$62)/SUMIFS('Financial Analysis'!$F$71:$F$790,'Financial Analysis'!$B$71:$B$790,$A156,'Financial Analysis'!$C$71:$C$790,"&gt;="&amp;'Assumptions &amp; Data'!$C$62)</f>
        <v>0.0551507851231928</v>
      </c>
      <c r="I156" s="49" t="n">
        <f aca="false">SUMIFS('Financial Analysis'!$L$71:$L$790,'Financial Analysis'!$B$71:$B$790,$A156,'Financial Analysis'!$C$71:$C$790,"&gt;="&amp;'Assumptions &amp; Data'!$C$62)/SUMIFS('Financial Analysis'!$H$71:$H$790,'Financial Analysis'!$B$71:$B$790,$A156,'Financial Analysis'!$C$71:$C$790,"&gt;="&amp;'Assumptions &amp; Data'!$C$62)</f>
        <v>0.019058127001207</v>
      </c>
      <c r="J156" s="40" t="n">
        <f aca="false">SUMIFS('Financial Analysis'!$N$71:$N$790,'Financial Analysis'!$B$71:$B$790,$A156,'Financial Analysis'!$C$71:$C$790,"&gt;="&amp;'Assumptions &amp; Data'!$C$62)/SUMIFS('Financial Analysis'!$E$71:$E$790,'Financial Analysis'!$B$71:$B$790,$A156,'Financial Analysis'!$C$71:$C$790,"&gt;="&amp;'Assumptions &amp; Data'!$C$62)</f>
        <v>34.911057659733</v>
      </c>
      <c r="K156" s="40" t="n">
        <f aca="false">SUMIFS('Financial Analysis'!$R$71:$R$790,'Financial Analysis'!$B$71:$B$790,$A156,'Financial Analysis'!$C$71:$C$790,"&gt;="&amp;'Assumptions &amp; Data'!$C$62)/AVERAGEIFS('Assumptions &amp; Data'!$M$205:$M$924,'Assumptions &amp; Data'!$B$205:$B$924,$A156,'Assumptions &amp; Data'!$C$205:$C$924,"&gt;="&amp;'Assumptions &amp; Data'!$C$62)/'Assumptions &amp; Data'!$C$85</f>
        <v>32.6678411708904</v>
      </c>
      <c r="L156" s="40" t="n">
        <f aca="false">E156/K156</f>
        <v>34.375316857638</v>
      </c>
      <c r="M156" s="40" t="n">
        <f aca="false">SUMIFS('Financial Analysis'!$Q$71:$Q$790,'Financial Analysis'!$B$71:$B$790,$A156,'Financial Analysis'!$C$71:$C$790,"&gt;="&amp;'Assumptions &amp; Data'!$C$62)/SUMIFS('Financial Analysis'!$E$71:$E$790,'Financial Analysis'!$B$71:$B$790,$A156,'Financial Analysis'!$C$71:$C$790,"&gt;="&amp;'Assumptions &amp; Data'!$C$62)</f>
        <v>58.7753984381895</v>
      </c>
      <c r="N156" s="40" t="n">
        <f aca="false">SUMIFS('Financial Analysis'!$Y$71:$Y$790,'Financial Analysis'!$B$71:$B$790,$A156,'Financial Analysis'!$C$71:$C$790,"&gt;="&amp;'Assumptions &amp; Data'!$C$62)/'Assumptions &amp; Data'!$C$85/100000</f>
        <v>14.43372</v>
      </c>
      <c r="O156" s="40" t="n">
        <f aca="false">SUMIFS('Financial Analysis'!$V$71:$V$790,'Financial Analysis'!$B$71:$B$790,$A156,'Financial Analysis'!$C$71:$C$790,"&gt;="&amp;'Assumptions &amp; Data'!$C$62)/'Assumptions &amp; Data'!$C$85/100000</f>
        <v>5.8071557961489</v>
      </c>
      <c r="P156" s="49" t="n">
        <f aca="false">O156/F156</f>
        <v>0.0319031548549133</v>
      </c>
      <c r="Q156" s="39" t="n">
        <f aca="false">IF(M156&gt;0,N156*100000/(M156*'Assumptions &amp; Data'!$C$63/'Assumptions &amp; Data'!$C$85),9999)</f>
        <v>800.785354273124</v>
      </c>
      <c r="R156" s="49" t="n">
        <f aca="false">E156/Q156-1</f>
        <v>0.402332579276091</v>
      </c>
      <c r="S156" s="50" t="n">
        <f aca="false">'Assumptions &amp; Data'!E192</f>
        <v>51.9</v>
      </c>
      <c r="T156" s="50" t="n">
        <f aca="false">'Assumptions &amp; Data'!G192</f>
        <v>3</v>
      </c>
      <c r="U156" s="49" t="n">
        <f aca="false">MAX(0,('Assumptions &amp; Data'!$C$72-T156)/'Assumptions &amp; Data'!$C$72)*'Assumptions &amp; Data'!$C$73</f>
        <v>0</v>
      </c>
      <c r="V156" s="39" t="n">
        <f aca="false">S156*$B$6*(1-U156)</f>
        <v>1848.75718461882</v>
      </c>
      <c r="W156" s="49" t="n">
        <f aca="false">V156/E156-1</f>
        <v>0.646314219749032</v>
      </c>
      <c r="X156" s="39" t="n">
        <f aca="false">IF(D156&gt;='Assumptions &amp; Data'!$C$64,1,0)</f>
        <v>1</v>
      </c>
      <c r="Y156" s="40" t="n">
        <f aca="false">IF(AND(X156=1,T156&gt;='Assumptions &amp; Data'!$C$72),E156/S156,"")</f>
        <v>21.6371366339951</v>
      </c>
      <c r="Z156" s="49" t="n">
        <f aca="false">IF(X156=1,H156,"")</f>
        <v>0.0551507851231928</v>
      </c>
      <c r="AA156" s="49" t="n">
        <f aca="false">IF(X156=1,I156,"")</f>
        <v>0.019058127001207</v>
      </c>
      <c r="AB156" s="40" t="n">
        <f aca="false">IF(X156=1,J156,"")</f>
        <v>34.911057659733</v>
      </c>
      <c r="AC156" s="40" t="n">
        <f aca="false">IF(X156=1,L156,"")</f>
        <v>34.375316857638</v>
      </c>
      <c r="AD156" s="40" t="n">
        <f aca="false">IF(X156=1,AP156/E156*100,"")</f>
        <v>356.199123053246</v>
      </c>
      <c r="AE156" s="40" t="n">
        <f aca="false">IF(X156=1,M156,"")</f>
        <v>58.7753984381895</v>
      </c>
      <c r="AF156" s="40" t="n">
        <f aca="false">E156*'Assumptions &amp; Data'!$C$63/'Assumptions &amp; Data'!$C$85*G156/100000</f>
        <v>192.649257333333</v>
      </c>
      <c r="AG156" s="49" t="n">
        <f aca="false">MAX(0,H156-$B$7)</f>
        <v>0.000345685119935962</v>
      </c>
      <c r="AH156" s="40" t="n">
        <f aca="false">AG156*AF156</f>
        <v>0.0665959816268474</v>
      </c>
      <c r="AI156" s="40" t="n">
        <f aca="false">AG156*100*E156*'Assumptions &amp; Data'!$C$63/'Assumptions &amp; Data'!$C$85*M156/100000</f>
        <v>0.699696957720065</v>
      </c>
      <c r="AJ156" s="49" t="n">
        <f aca="false">MAX(0,I156-$B$8)</f>
        <v>0</v>
      </c>
      <c r="AK156" s="40" t="n">
        <f aca="false">AJ156*F156</f>
        <v>0</v>
      </c>
      <c r="AL156" s="40" t="n">
        <f aca="false">MAX(0,K156-E156/$B$10)</f>
        <v>3.24618482517937</v>
      </c>
      <c r="AM156" s="40" t="n">
        <f aca="false">AL156*BN156/K156</f>
        <v>0.638762608666629</v>
      </c>
      <c r="AN156" s="40" t="n">
        <f aca="false">MAX(0,J156-$B$9)</f>
        <v>0</v>
      </c>
      <c r="AO156" s="40" t="n">
        <f aca="false">AN156*E156*'Assumptions &amp; Data'!$C$63/'Assumptions &amp; Data'!$C$85/100000</f>
        <v>0</v>
      </c>
      <c r="AP156" s="37" t="n">
        <f aca="false">'Assumptions &amp; Data'!H192</f>
        <v>4000</v>
      </c>
      <c r="AQ156" s="39" t="n">
        <f aca="false">MIN(AP156,$B$11*E156/100)</f>
        <v>4000</v>
      </c>
      <c r="AR156" s="39" t="n">
        <f aca="false">IF(AP156-AQ156&gt;'Assumptions &amp; Data'!$C$78*AP156,AP156-AQ156,0)</f>
        <v>0</v>
      </c>
      <c r="AS156" s="50" t="n">
        <f aca="false">'Assumptions &amp; Data'!I192</f>
        <v>111</v>
      </c>
      <c r="AT156" s="40" t="n">
        <f aca="false">INDEX('Assumptions &amp; Data'!$B$89:$E$94,MATCH(B156,'Assumptions &amp; Data'!$A$89:$A$94,0),MATCH(C156,'Assumptions &amp; Data'!$B$88:$E$88,0))</f>
        <v>133</v>
      </c>
      <c r="AU156" s="39" t="n">
        <f aca="false">IF(BY156&lt;='Assumptions &amp; Data'!$C$79,1,0)</f>
        <v>1</v>
      </c>
      <c r="AV156" s="40" t="n">
        <f aca="false">AU156*(AR156*AS156+MAX(0,AS156-AT156)*(AP156-AR156))/100000</f>
        <v>0</v>
      </c>
      <c r="AW156" s="40" t="n">
        <f aca="false">'Assumptions &amp; Data'!$C$67*(AH156-'Assumptions &amp; Data'!$C$68*AI156+AK156+AM156+AO156+AV156)</f>
        <v>0.419016972429766</v>
      </c>
      <c r="AX156" s="40" t="n">
        <f aca="false">O156+AW156</f>
        <v>6.22617276857867</v>
      </c>
      <c r="AY156" s="49" t="n">
        <f aca="false">IF(D156&lt;'Assumptions &amp; Data'!$C$64,'Assumptions &amp; Data'!$C$70,'Assumptions &amp; Data'!$C$69)</f>
        <v>0.5</v>
      </c>
      <c r="AZ156" s="40" t="n">
        <f aca="false">AY156*MAX(0,V156-E156)*'Assumptions &amp; Data'!$C$63/'Assumptions &amp; Data'!$C$85*(M156-'Assumptions &amp; Data'!$C$71)/100000</f>
        <v>5.42810524053032</v>
      </c>
      <c r="BA156" s="40" t="n">
        <f aca="false">AX156+AZ156</f>
        <v>11.654278009109</v>
      </c>
      <c r="BB156" s="40" t="n">
        <f aca="false">BA156+(1-'Assumptions &amp; Data'!$C$67)*AV156</f>
        <v>11.654278009109</v>
      </c>
      <c r="BC156" s="48" t="str">
        <f aca="false">'Assumptions &amp; Data'!F192</f>
        <v>DS053</v>
      </c>
      <c r="BD156" s="39" t="n">
        <f aca="false">INDEX('Assumptions &amp; Data'!$K$142:$K$201,MATCH(BC156,'Assumptions &amp; Data'!$A$142:$A$201,0))*'Assumptions &amp; Data'!$C$77</f>
        <v>972</v>
      </c>
      <c r="BE156" s="39" t="n">
        <f aca="false">MAX(0,BD156-INDEX($E$106:$E$165,MATCH(BC156,$A$106:$A$165,0)))</f>
        <v>312.521739130435</v>
      </c>
      <c r="BF156" s="39" t="n">
        <f aca="false">IF(T156&lt;='Assumptions &amp; Data'!$C$74,MIN('Assumptions &amp; Data'!$C$76*E156,BE156),0)</f>
        <v>0</v>
      </c>
      <c r="BG156" s="40" t="n">
        <f aca="false">-O156+BF156*'Assumptions &amp; Data'!$C$63/'Assumptions &amp; Data'!$C$85*($B$12-'Assumptions &amp; Data'!$C$71)/100000</f>
        <v>-5.8071557961489</v>
      </c>
      <c r="BH156" s="40" t="n">
        <f aca="false">(AS156*AP156*BY156*'Assumptions &amp; Data'!$C$82+K156*(BN156*100000/K156)*'Assumptions &amp; Data'!$C$80*(1-'Assumptions &amp; Data'!$C$81)+AP156*'Assumptions &amp; Data'!$C$83)/100000</f>
        <v>17.245344</v>
      </c>
      <c r="BI156" s="40" t="n">
        <f aca="false">'Assumptions &amp; Data'!L192*MAX(0,1-D156/'Assumptions &amp; Data'!$C$84)</f>
        <v>106.857142857143</v>
      </c>
      <c r="BJ156" s="40" t="n">
        <f aca="false">IF(BG156&gt;0,BH156/BG156,99)</f>
        <v>99</v>
      </c>
      <c r="BK156" s="2" t="str">
        <f aca="false">IF(AND(P156&gt;='Assumptions &amp; Data'!$C$65,R156&gt;=0,W156&gt;='Assumptions &amp; Data'!$C$66),"Scale",IF(OR(O156&gt;=0,AX156&gt;=0),"Optimise",IF(BA156&gt;=0,"Turn around",IF(BB156&gt;=0,"Relocate or resize",IF(AND(BF156&gt;0,BJ156&lt;='Assumptions &amp; Data'!$C$75,D156&gt;='Assumptions &amp; Data'!$C$64),"Close","Relocate or resize")))))</f>
        <v>Scale</v>
      </c>
      <c r="BL156" s="42" t="str">
        <f aca="false">INDEX($BK$106:$BK$165,MATCH(BC156,$A$106:$A$165,0))</f>
        <v>Optimise</v>
      </c>
      <c r="BM156" s="42" t="str">
        <f aca="false">IF(RANK(P156,$P$106:$P$165)&lt;=ROUND(COUNT($P$106:$P$165)/4,0),"Q1 top",IF(RANK(P156,$P$106:$P$165)&gt;COUNT($P$106:$P$165)-ROUND(COUNT($P$106:$P$165)/4,0),"Q4 bottom","Q2-Q3 middle"))</f>
        <v>Q2-Q3 middle</v>
      </c>
      <c r="BN156" s="40" t="n">
        <f aca="false">SUMIFS('Financial Analysis'!$R$71:$R$790,'Financial Analysis'!$B$71:$B$790,$A156,'Financial Analysis'!$C$71:$C$790,"&gt;="&amp;'Assumptions &amp; Data'!$C$62)/'Assumptions &amp; Data'!$C$85/100000</f>
        <v>6.42816</v>
      </c>
      <c r="BO156" s="40" t="n">
        <f aca="false">SUMIFS('Financial Analysis'!$H$71:$H$790,'Financial Analysis'!$B$71:$B$790,$A156,'Financial Analysis'!$C$71:$C$790,"&gt;="&amp;'Assumptions &amp; Data'!$C$62)/SUMIFS('Financial Analysis'!$E$71:$E$790,'Financial Analysis'!$B$71:$B$790,$A156,'Financial Analysis'!$C$71:$C$790,"&gt;="&amp;'Assumptions &amp; Data'!$C$62)</f>
        <v>528.562231872078</v>
      </c>
      <c r="BP156" s="40" t="n">
        <f aca="false">(SUMIFS('Financial Analysis'!$I$71:$I$790,'Financial Analysis'!$B$71:$B$790,$A156,'Financial Analysis'!$C$71:$C$790,"&gt;="&amp;'Assumptions &amp; Data'!$C$62)+SUMIFS('Financial Analysis'!$J$71:$J$790,'Financial Analysis'!$B$71:$B$790,$A156,'Financial Analysis'!$C$71:$C$790,"&gt;="&amp;'Assumptions &amp; Data'!$C$62)+SUMIFS('Financial Analysis'!$K$71:$K$790,'Financial Analysis'!$B$71:$B$790,$A156,'Financial Analysis'!$C$71:$C$790,"&gt;="&amp;'Assumptions &amp; Data'!$C$62))/SUMIFS('Financial Analysis'!$E$71:$E$790,'Financial Analysis'!$B$71:$B$790,$A156,'Financial Analysis'!$C$71:$C$790,"&gt;="&amp;'Assumptions &amp; Data'!$C$62)</f>
        <v>118.737857305128</v>
      </c>
      <c r="BQ156" s="40" t="n">
        <f aca="false">SUMIFS('Financial Analysis'!$L$71:$L$790,'Financial Analysis'!$B$71:$B$790,$A156,'Financial Analysis'!$C$71:$C$790,"&gt;="&amp;'Assumptions &amp; Data'!$C$62)/SUMIFS('Financial Analysis'!$E$71:$E$790,'Financial Analysis'!$B$71:$B$790,$A156,'Financial Analysis'!$C$71:$C$790,"&gt;="&amp;'Assumptions &amp; Data'!$C$62)</f>
        <v>10.0734061430595</v>
      </c>
      <c r="BR156" s="40" t="n">
        <f aca="false">SUMIFS('Financial Analysis'!$L$71:$L$790,'Financial Analysis'!$B$71:$B$790,$A156,'Financial Analysis'!$C$71:$C$790,"&gt;="&amp;'Assumptions &amp; Data'!$C$62)/SUMIFS('Financial Analysis'!$E$71:$E$790,'Financial Analysis'!$B$71:$B$790,$A156,'Financial Analysis'!$C$71:$C$790,"&gt;="&amp;'Assumptions &amp; Data'!$C$62)</f>
        <v>10.0734061430595</v>
      </c>
      <c r="BS156" s="40" t="n">
        <f aca="false">SUMIFS('Financial Analysis'!$N$71:$N$790,'Financial Analysis'!$B$71:$B$790,$A156,'Financial Analysis'!$C$71:$C$790,"&gt;="&amp;'Assumptions &amp; Data'!$C$62)/SUMIFS('Financial Analysis'!$E$71:$E$790,'Financial Analysis'!$B$71:$B$790,$A156,'Financial Analysis'!$C$71:$C$790,"&gt;="&amp;'Assumptions &amp; Data'!$C$62)</f>
        <v>34.911057659733</v>
      </c>
      <c r="BT156" s="40" t="n">
        <f aca="false">(SUMIFS('Financial Analysis'!$O$71:$O$790,'Financial Analysis'!$B$71:$B$790,$A156,'Financial Analysis'!$C$71:$C$790,"&gt;="&amp;'Assumptions &amp; Data'!$C$62)+SUMIFS('Financial Analysis'!$P$71:$P$790,'Financial Analysis'!$B$71:$B$790,$A156,'Financial Analysis'!$C$71:$C$790,"&gt;="&amp;'Assumptions &amp; Data'!$C$62))/SUMIFS('Financial Analysis'!$E$71:$E$790,'Financial Analysis'!$B$71:$B$790,$A156,'Financial Analysis'!$C$71:$C$790,"&gt;="&amp;'Assumptions &amp; Data'!$C$62)</f>
        <v>14.9779950641457</v>
      </c>
      <c r="BU156" s="40" t="n">
        <f aca="false">SUMIFS('Financial Analysis'!$R$71:$R$790,'Financial Analysis'!$B$71:$B$790,$A156,'Financial Analysis'!$C$71:$C$790,"&gt;="&amp;'Assumptions &amp; Data'!$C$62)/SUMIFS('Financial Analysis'!$E$71:$E$790,'Financial Analysis'!$B$71:$B$790,$A156,'Financial Analysis'!$C$71:$C$790,"&gt;="&amp;'Assumptions &amp; Data'!$C$62)</f>
        <v>18.6660730014616</v>
      </c>
      <c r="BV156" s="40" t="n">
        <f aca="false">SUMIFS('Financial Analysis'!$S$71:$S$790,'Financial Analysis'!$B$71:$B$790,$A156,'Financial Analysis'!$C$71:$C$790,"&gt;="&amp;'Assumptions &amp; Data'!$C$62)/SUMIFS('Financial Analysis'!$E$71:$E$790,'Financial Analysis'!$B$71:$B$790,$A156,'Financial Analysis'!$C$71:$C$790,"&gt;="&amp;'Assumptions &amp; Data'!$C$62)</f>
        <v>12.8928595626881</v>
      </c>
      <c r="BW156" s="40" t="n">
        <f aca="false">(SUMIFS('Financial Analysis'!$T$71:$T$790,'Financial Analysis'!$B$71:$B$790,$A156,'Financial Analysis'!$C$71:$C$790,"&gt;="&amp;'Assumptions &amp; Data'!$C$62)+SUMIFS('Financial Analysis'!$U$71:$U$790,'Financial Analysis'!$B$71:$B$790,$A156,'Financial Analysis'!$C$71:$C$790,"&gt;="&amp;'Assumptions &amp; Data'!$C$62))/SUMIFS('Financial Analysis'!$E$71:$E$790,'Financial Analysis'!$B$71:$B$790,$A156,'Financial Analysis'!$C$71:$C$790,"&gt;="&amp;'Assumptions &amp; Data'!$C$62)</f>
        <v>10.3536631401663</v>
      </c>
      <c r="BX156" s="40" t="n">
        <f aca="false">SUMIFS('Financial Analysis'!$V$71:$V$790,'Financial Analysis'!$B$71:$B$790,$A156,'Financial Analysis'!$C$71:$C$790,"&gt;="&amp;'Assumptions &amp; Data'!$C$62)/SUMIFS('Financial Analysis'!$E$71:$E$790,'Financial Analysis'!$B$71:$B$790,$A156,'Financial Analysis'!$C$71:$C$790,"&gt;="&amp;'Assumptions &amp; Data'!$C$62)</f>
        <v>16.8628027338735</v>
      </c>
      <c r="BY156" s="37" t="n">
        <f aca="false">'Assumptions &amp; Data'!J192</f>
        <v>3</v>
      </c>
      <c r="BZ156" s="39" t="str">
        <f aca="false">IF(BK156="Close",COUNTIF($BK$106:BK156,"Close"),"")</f>
        <v/>
      </c>
    </row>
    <row r="157" customFormat="false" ht="15" hidden="false" customHeight="false" outlineLevel="0" collapsed="false">
      <c r="A157" s="48" t="str">
        <f aca="false">'Assumptions &amp; Data'!A193</f>
        <v>DS052</v>
      </c>
      <c r="B157" s="48" t="str">
        <f aca="false">'Assumptions &amp; Data'!B193</f>
        <v>Pune</v>
      </c>
      <c r="C157" s="48" t="str">
        <f aca="false">'Assumptions &amp; Data'!C193</f>
        <v>Dense residential</v>
      </c>
      <c r="D157" s="37" t="n">
        <f aca="false">'Assumptions &amp; Data'!D193</f>
        <v>7</v>
      </c>
      <c r="E157" s="39" t="n">
        <f aca="false">SUMIFS('Financial Analysis'!$E$71:$E$790,'Financial Analysis'!$B$71:$B$790,$A157,'Financial Analysis'!$C$71:$C$790,"&gt;="&amp;'Assumptions &amp; Data'!$C$62)/'Assumptions &amp; Data'!$C$63</f>
        <v>601.532608695652</v>
      </c>
      <c r="F157" s="40" t="n">
        <f aca="false">SUMIFS('Financial Analysis'!$H$71:$H$790,'Financial Analysis'!$B$71:$B$790,$A157,'Financial Analysis'!$C$71:$C$790,"&gt;="&amp;'Assumptions &amp; Data'!$C$62)/'Assumptions &amp; Data'!$C$85/100000</f>
        <v>112.9072876153</v>
      </c>
      <c r="G157" s="40" t="n">
        <f aca="false">SUMIFS('Financial Analysis'!$F$71:$F$790,'Financial Analysis'!$B$71:$B$790,$A157,'Financial Analysis'!$C$71:$C$790,"&gt;="&amp;'Assumptions &amp; Data'!$C$62)/SUMIFS('Financial Analysis'!$E$71:$E$790,'Financial Analysis'!$B$71:$B$790,$A157,'Financial Analysis'!$C$71:$C$790,"&gt;="&amp;'Assumptions &amp; Data'!$C$62)</f>
        <v>658.078543936684</v>
      </c>
      <c r="H157" s="49" t="n">
        <f aca="false">SUMIFS('Financial Analysis'!$G$71:$G$790,'Financial Analysis'!$B$71:$B$790,$A157,'Financial Analysis'!$C$71:$C$790,"&gt;="&amp;'Assumptions &amp; Data'!$C$62)/SUMIFS('Financial Analysis'!$F$71:$F$790,'Financial Analysis'!$B$71:$B$790,$A157,'Financial Analysis'!$C$71:$C$790,"&gt;="&amp;'Assumptions &amp; Data'!$C$62)</f>
        <v>0.0699238766976923</v>
      </c>
      <c r="I157" s="49" t="n">
        <f aca="false">SUMIFS('Financial Analysis'!$L$71:$L$790,'Financial Analysis'!$B$71:$B$790,$A157,'Financial Analysis'!$C$71:$C$790,"&gt;="&amp;'Assumptions &amp; Data'!$C$62)/SUMIFS('Financial Analysis'!$H$71:$H$790,'Financial Analysis'!$B$71:$B$790,$A157,'Financial Analysis'!$C$71:$C$790,"&gt;="&amp;'Assumptions &amp; Data'!$C$62)</f>
        <v>0.028215575900674</v>
      </c>
      <c r="J157" s="40" t="n">
        <f aca="false">SUMIFS('Financial Analysis'!$N$71:$N$790,'Financial Analysis'!$B$71:$B$790,$A157,'Financial Analysis'!$C$71:$C$790,"&gt;="&amp;'Assumptions &amp; Data'!$C$62)/SUMIFS('Financial Analysis'!$E$71:$E$790,'Financial Analysis'!$B$71:$B$790,$A157,'Financial Analysis'!$C$71:$C$790,"&gt;="&amp;'Assumptions &amp; Data'!$C$62)</f>
        <v>43.1947951789812</v>
      </c>
      <c r="K157" s="40" t="n">
        <f aca="false">SUMIFS('Financial Analysis'!$R$71:$R$790,'Financial Analysis'!$B$71:$B$790,$A157,'Financial Analysis'!$C$71:$C$790,"&gt;="&amp;'Assumptions &amp; Data'!$C$62)/AVERAGEIFS('Assumptions &amp; Data'!$M$205:$M$924,'Assumptions &amp; Data'!$B$205:$B$924,$A157,'Assumptions &amp; Data'!$C$205:$C$924,"&gt;="&amp;'Assumptions &amp; Data'!$C$62)/'Assumptions &amp; Data'!$C$85</f>
        <v>21.6681460902561</v>
      </c>
      <c r="L157" s="40" t="n">
        <f aca="false">E157/K157</f>
        <v>27.7611479168563</v>
      </c>
      <c r="M157" s="40" t="n">
        <f aca="false">SUMIFS('Financial Analysis'!$Q$71:$Q$790,'Financial Analysis'!$B$71:$B$790,$A157,'Financial Analysis'!$C$71:$C$790,"&gt;="&amp;'Assumptions &amp; Data'!$C$62)/SUMIFS('Financial Analysis'!$E$71:$E$790,'Financial Analysis'!$B$71:$B$790,$A157,'Financial Analysis'!$C$71:$C$790,"&gt;="&amp;'Assumptions &amp; Data'!$C$62)</f>
        <v>50.5434761738833</v>
      </c>
      <c r="N157" s="40" t="n">
        <f aca="false">SUMIFS('Financial Analysis'!$Y$71:$Y$790,'Financial Analysis'!$B$71:$B$790,$A157,'Financial Analysis'!$C$71:$C$790,"&gt;="&amp;'Assumptions &amp; Data'!$C$62)/'Assumptions &amp; Data'!$C$85/100000</f>
        <v>12.45727</v>
      </c>
      <c r="O157" s="40" t="n">
        <f aca="false">SUMIFS('Financial Analysis'!$V$71:$V$790,'Financial Analysis'!$B$71:$B$790,$A157,'Financial Analysis'!$C$71:$C$790,"&gt;="&amp;'Assumptions &amp; Data'!$C$62)/'Assumptions &amp; Data'!$C$85/100000</f>
        <v>-3.13351495020376</v>
      </c>
      <c r="P157" s="49" t="n">
        <f aca="false">O157/F157</f>
        <v>-0.02775299111675</v>
      </c>
      <c r="Q157" s="39" t="n">
        <f aca="false">IF(M157&gt;0,N157*100000/(M157*'Assumptions &amp; Data'!$C$63/'Assumptions &amp; Data'!$C$85),9999)</f>
        <v>803.694871894972</v>
      </c>
      <c r="R157" s="49" t="n">
        <f aca="false">E157/Q157-1</f>
        <v>-0.251541063989442</v>
      </c>
      <c r="S157" s="50" t="n">
        <f aca="false">'Assumptions &amp; Data'!E193</f>
        <v>38.1</v>
      </c>
      <c r="T157" s="50" t="n">
        <f aca="false">'Assumptions &amp; Data'!G193</f>
        <v>1</v>
      </c>
      <c r="U157" s="49" t="n">
        <f aca="false">MAX(0,('Assumptions &amp; Data'!$C$72-T157)/'Assumptions &amp; Data'!$C$72)*'Assumptions &amp; Data'!$C$73</f>
        <v>0.166666666666667</v>
      </c>
      <c r="V157" s="39" t="n">
        <f aca="false">S157*$B$6*(1-U157)</f>
        <v>1130.98344145757</v>
      </c>
      <c r="W157" s="49" t="n">
        <f aca="false">V157/E157-1</f>
        <v>0.88016979480125</v>
      </c>
      <c r="X157" s="39" t="n">
        <f aca="false">IF(D157&gt;='Assumptions &amp; Data'!$C$64,1,0)</f>
        <v>0</v>
      </c>
      <c r="Y157" s="40" t="str">
        <f aca="false">IF(AND(X157=1,T157&gt;='Assumptions &amp; Data'!$C$72),E157/S157,"")</f>
        <v/>
      </c>
      <c r="Z157" s="49" t="str">
        <f aca="false">IF(X157=1,H157,"")</f>
        <v/>
      </c>
      <c r="AA157" s="49" t="str">
        <f aca="false">IF(X157=1,I157,"")</f>
        <v/>
      </c>
      <c r="AB157" s="40" t="str">
        <f aca="false">IF(X157=1,J157,"")</f>
        <v/>
      </c>
      <c r="AC157" s="40" t="str">
        <f aca="false">IF(X157=1,L157,"")</f>
        <v/>
      </c>
      <c r="AD157" s="40" t="str">
        <f aca="false">IF(X157=1,AP157/E157*100,"")</f>
        <v/>
      </c>
      <c r="AE157" s="40" t="str">
        <f aca="false">IF(X157=1,M157,"")</f>
        <v/>
      </c>
      <c r="AF157" s="40" t="n">
        <f aca="false">E157*'Assumptions &amp; Data'!$C$63/'Assumptions &amp; Data'!$C$85*G157/100000</f>
        <v>121.395749</v>
      </c>
      <c r="AG157" s="49" t="n">
        <f aca="false">MAX(0,H157-$B$7)</f>
        <v>0.0151187766944355</v>
      </c>
      <c r="AH157" s="40" t="n">
        <f aca="false">AG157*AF157</f>
        <v>1.83535522078474</v>
      </c>
      <c r="AI157" s="40" t="n">
        <f aca="false">AG157*100*E157*'Assumptions &amp; Data'!$C$63/'Assumptions &amp; Data'!$C$85*M157/100000</f>
        <v>14.0963770551485</v>
      </c>
      <c r="AJ157" s="49" t="n">
        <f aca="false">MAX(0,I157-$B$8)</f>
        <v>0.00681098219038693</v>
      </c>
      <c r="AK157" s="40" t="n">
        <f aca="false">AJ157*F157</f>
        <v>0.769009525112703</v>
      </c>
      <c r="AL157" s="40" t="n">
        <f aca="false">MAX(0,K157-E157/$B$10)</f>
        <v>5.9080395806398</v>
      </c>
      <c r="AM157" s="40" t="n">
        <f aca="false">AL157*BN157/K157</f>
        <v>1.16254464174776</v>
      </c>
      <c r="AN157" s="40" t="n">
        <f aca="false">MAX(0,J157-$B$9)</f>
        <v>4.98863858252047</v>
      </c>
      <c r="AO157" s="40" t="n">
        <f aca="false">AN157*E157*'Assumptions &amp; Data'!$C$63/'Assumptions &amp; Data'!$C$85/100000</f>
        <v>0.920254159317552</v>
      </c>
      <c r="AP157" s="37" t="n">
        <f aca="false">'Assumptions &amp; Data'!H193</f>
        <v>4500</v>
      </c>
      <c r="AQ157" s="39" t="n">
        <f aca="false">MIN(AP157,$B$11*E157/100)</f>
        <v>2311.30991213054</v>
      </c>
      <c r="AR157" s="39" t="n">
        <f aca="false">IF(AP157-AQ157&gt;'Assumptions &amp; Data'!$C$78*AP157,AP157-AQ157,0)</f>
        <v>2188.69008786946</v>
      </c>
      <c r="AS157" s="50" t="n">
        <f aca="false">'Assumptions &amp; Data'!I193</f>
        <v>91</v>
      </c>
      <c r="AT157" s="40" t="n">
        <f aca="false">INDEX('Assumptions &amp; Data'!$B$89:$E$94,MATCH(B157,'Assumptions &amp; Data'!$A$89:$A$94,0),MATCH(C157,'Assumptions &amp; Data'!$B$88:$E$88,0))</f>
        <v>107</v>
      </c>
      <c r="AU157" s="39" t="n">
        <f aca="false">IF(BY157&lt;='Assumptions &amp; Data'!$C$79,1,0)</f>
        <v>0</v>
      </c>
      <c r="AV157" s="40" t="n">
        <f aca="false">AU157*(AR157*AS157+MAX(0,AS157-AT157)*(AP157-AR157))/100000</f>
        <v>0</v>
      </c>
      <c r="AW157" s="40" t="n">
        <f aca="false">'Assumptions &amp; Data'!$C$67*(AH157-'Assumptions &amp; Data'!$C$68*AI157+AK157+AM157+AO157+AV157)</f>
        <v>2.72771986584676</v>
      </c>
      <c r="AX157" s="40" t="n">
        <f aca="false">O157+AW157</f>
        <v>-0.405795084356992</v>
      </c>
      <c r="AY157" s="49" t="n">
        <f aca="false">IF(D157&lt;'Assumptions &amp; Data'!$C$64,'Assumptions &amp; Data'!$C$70,'Assumptions &amp; Data'!$C$69)</f>
        <v>0.8</v>
      </c>
      <c r="AZ157" s="40" t="n">
        <f aca="false">AY157*MAX(0,V157-E157)*'Assumptions &amp; Data'!$C$63/'Assumptions &amp; Data'!$C$85*(M157-'Assumptions &amp; Data'!$C$71)/100000</f>
        <v>5.26627067878913</v>
      </c>
      <c r="BA157" s="40" t="n">
        <f aca="false">AX157+AZ157</f>
        <v>4.86047559443214</v>
      </c>
      <c r="BB157" s="40" t="n">
        <f aca="false">BA157+(1-'Assumptions &amp; Data'!$C$67)*AV157</f>
        <v>4.86047559443214</v>
      </c>
      <c r="BC157" s="48" t="str">
        <f aca="false">'Assumptions &amp; Data'!F193</f>
        <v>DS048</v>
      </c>
      <c r="BD157" s="39" t="n">
        <f aca="false">INDEX('Assumptions &amp; Data'!$K$142:$K$201,MATCH(BC157,'Assumptions &amp; Data'!$A$142:$A$201,0))*'Assumptions &amp; Data'!$C$77</f>
        <v>1134</v>
      </c>
      <c r="BE157" s="39" t="n">
        <f aca="false">MAX(0,BD157-INDEX($E$106:$E$165,MATCH(BC157,$A$106:$A$165,0)))</f>
        <v>716.445652173913</v>
      </c>
      <c r="BF157" s="39" t="n">
        <f aca="false">IF(T157&lt;='Assumptions &amp; Data'!$C$74,MIN('Assumptions &amp; Data'!$C$76*E157,BE157),0)</f>
        <v>360.919565217391</v>
      </c>
      <c r="BG157" s="40" t="n">
        <f aca="false">-O157+BF157*'Assumptions &amp; Data'!$C$63/'Assumptions &amp; Data'!$C$85*($B$12-'Assumptions &amp; Data'!$C$71)/100000</f>
        <v>9.19191924867145</v>
      </c>
      <c r="BH157" s="40" t="n">
        <f aca="false">(AS157*AP157*BY157*'Assumptions &amp; Data'!$C$82+K157*(BN157*100000/K157)*'Assumptions &amp; Data'!$C$80*(1-'Assumptions &amp; Data'!$C$81)+AP157*'Assumptions &amp; Data'!$C$83)/100000</f>
        <v>58.377342</v>
      </c>
      <c r="BI157" s="40" t="n">
        <f aca="false">'Assumptions &amp; Data'!L193*MAX(0,1-D157/'Assumptions &amp; Data'!$C$84)</f>
        <v>140.25</v>
      </c>
      <c r="BJ157" s="40" t="n">
        <f aca="false">IF(BG157&gt;0,BH157/BG157,99)</f>
        <v>6.35094156298616</v>
      </c>
      <c r="BK157" s="2" t="str">
        <f aca="false">IF(AND(P157&gt;='Assumptions &amp; Data'!$C$65,R157&gt;=0,W157&gt;='Assumptions &amp; Data'!$C$66),"Scale",IF(OR(O157&gt;=0,AX157&gt;=0),"Optimise",IF(BA157&gt;=0,"Turn around",IF(BB157&gt;=0,"Relocate or resize",IF(AND(BF157&gt;0,BJ157&lt;='Assumptions &amp; Data'!$C$75,D157&gt;='Assumptions &amp; Data'!$C$64),"Close","Relocate or resize")))))</f>
        <v>Turn around</v>
      </c>
      <c r="BL157" s="42" t="str">
        <f aca="false">INDEX($BK$106:$BK$165,MATCH(BC157,$A$106:$A$165,0))</f>
        <v>Relocate or resize</v>
      </c>
      <c r="BM157" s="42" t="str">
        <f aca="false">IF(RANK(P157,$P$106:$P$165)&lt;=ROUND(COUNT($P$106:$P$165)/4,0),"Q1 top",IF(RANK(P157,$P$106:$P$165)&gt;COUNT($P$106:$P$165)-ROUND(COUNT($P$106:$P$165)/4,0),"Q4 bottom","Q2-Q3 middle"))</f>
        <v>Q2-Q3 middle</v>
      </c>
      <c r="BN157" s="40" t="n">
        <f aca="false">SUMIFS('Financial Analysis'!$R$71:$R$790,'Financial Analysis'!$B$71:$B$790,$A157,'Financial Analysis'!$C$71:$C$790,"&gt;="&amp;'Assumptions &amp; Data'!$C$62)/'Assumptions &amp; Data'!$C$85/100000</f>
        <v>4.26371333333333</v>
      </c>
      <c r="BO157" s="40" t="n">
        <f aca="false">SUMIFS('Financial Analysis'!$H$71:$H$790,'Financial Analysis'!$B$71:$B$790,$A157,'Financial Analysis'!$C$71:$C$790,"&gt;="&amp;'Assumptions &amp; Data'!$C$62)/SUMIFS('Financial Analysis'!$E$71:$E$790,'Financial Analysis'!$B$71:$B$790,$A157,'Financial Analysis'!$C$71:$C$790,"&gt;="&amp;'Assumptions &amp; Data'!$C$62)</f>
        <v>612.063140973058</v>
      </c>
      <c r="BP157" s="40" t="n">
        <f aca="false">(SUMIFS('Financial Analysis'!$I$71:$I$790,'Financial Analysis'!$B$71:$B$790,$A157,'Financial Analysis'!$C$71:$C$790,"&gt;="&amp;'Assumptions &amp; Data'!$C$62)+SUMIFS('Financial Analysis'!$J$71:$J$790,'Financial Analysis'!$B$71:$B$790,$A157,'Financial Analysis'!$C$71:$C$790,"&gt;="&amp;'Assumptions &amp; Data'!$C$62)+SUMIFS('Financial Analysis'!$K$71:$K$790,'Financial Analysis'!$B$71:$B$790,$A157,'Financial Analysis'!$C$71:$C$790,"&gt;="&amp;'Assumptions &amp; Data'!$C$62))/SUMIFS('Financial Analysis'!$E$71:$E$790,'Financial Analysis'!$B$71:$B$790,$A157,'Financial Analysis'!$C$71:$C$790,"&gt;="&amp;'Assumptions &amp; Data'!$C$62)</f>
        <v>127.163274705268</v>
      </c>
      <c r="BQ157" s="40" t="n">
        <f aca="false">SUMIFS('Financial Analysis'!$L$71:$L$790,'Financial Analysis'!$B$71:$B$790,$A157,'Financial Analysis'!$C$71:$C$790,"&gt;="&amp;'Assumptions &amp; Data'!$C$62)/SUMIFS('Financial Analysis'!$E$71:$E$790,'Financial Analysis'!$B$71:$B$790,$A157,'Financial Analysis'!$C$71:$C$790,"&gt;="&amp;'Assumptions &amp; Data'!$C$62)</f>
        <v>17.2697140101303</v>
      </c>
      <c r="BR157" s="40" t="n">
        <f aca="false">SUMIFS('Financial Analysis'!$L$71:$L$790,'Financial Analysis'!$B$71:$B$790,$A157,'Financial Analysis'!$C$71:$C$790,"&gt;="&amp;'Assumptions &amp; Data'!$C$62)/SUMIFS('Financial Analysis'!$E$71:$E$790,'Financial Analysis'!$B$71:$B$790,$A157,'Financial Analysis'!$C$71:$C$790,"&gt;="&amp;'Assumptions &amp; Data'!$C$62)</f>
        <v>17.2697140101303</v>
      </c>
      <c r="BS157" s="40" t="n">
        <f aca="false">SUMIFS('Financial Analysis'!$N$71:$N$790,'Financial Analysis'!$B$71:$B$790,$A157,'Financial Analysis'!$C$71:$C$790,"&gt;="&amp;'Assumptions &amp; Data'!$C$62)/SUMIFS('Financial Analysis'!$E$71:$E$790,'Financial Analysis'!$B$71:$B$790,$A157,'Financial Analysis'!$C$71:$C$790,"&gt;="&amp;'Assumptions &amp; Data'!$C$62)</f>
        <v>43.1947951789812</v>
      </c>
      <c r="BT157" s="40" t="n">
        <f aca="false">(SUMIFS('Financial Analysis'!$O$71:$O$790,'Financial Analysis'!$B$71:$B$790,$A157,'Financial Analysis'!$C$71:$C$790,"&gt;="&amp;'Assumptions &amp; Data'!$C$62)+SUMIFS('Financial Analysis'!$P$71:$P$790,'Financial Analysis'!$B$71:$B$790,$A157,'Financial Analysis'!$C$71:$C$790,"&gt;="&amp;'Assumptions &amp; Data'!$C$62))/SUMIFS('Financial Analysis'!$E$71:$E$790,'Financial Analysis'!$B$71:$B$790,$A157,'Financial Analysis'!$C$71:$C$790,"&gt;="&amp;'Assumptions &amp; Data'!$C$62)</f>
        <v>16.1552893422733</v>
      </c>
      <c r="BU157" s="40" t="n">
        <f aca="false">SUMIFS('Financial Analysis'!$R$71:$R$790,'Financial Analysis'!$B$71:$B$790,$A157,'Financial Analysis'!$C$71:$C$790,"&gt;="&amp;'Assumptions &amp; Data'!$C$62)/SUMIFS('Financial Analysis'!$E$71:$E$790,'Financial Analysis'!$B$71:$B$790,$A157,'Financial Analysis'!$C$71:$C$790,"&gt;="&amp;'Assumptions &amp; Data'!$C$62)</f>
        <v>23.1133156249435</v>
      </c>
      <c r="BV157" s="40" t="n">
        <f aca="false">SUMIFS('Financial Analysis'!$S$71:$S$790,'Financial Analysis'!$B$71:$B$790,$A157,'Financial Analysis'!$C$71:$C$790,"&gt;="&amp;'Assumptions &amp; Data'!$C$62)/SUMIFS('Financial Analysis'!$E$71:$E$790,'Financial Analysis'!$B$71:$B$790,$A157,'Financial Analysis'!$C$71:$C$790,"&gt;="&amp;'Assumptions &amp; Data'!$C$62)</f>
        <v>22.1987315010571</v>
      </c>
      <c r="BW157" s="40" t="n">
        <f aca="false">(SUMIFS('Financial Analysis'!$T$71:$T$790,'Financial Analysis'!$B$71:$B$790,$A157,'Financial Analysis'!$C$71:$C$790,"&gt;="&amp;'Assumptions &amp; Data'!$C$62)+SUMIFS('Financial Analysis'!$U$71:$U$790,'Financial Analysis'!$B$71:$B$790,$A157,'Financial Analysis'!$C$71:$C$790,"&gt;="&amp;'Assumptions &amp; Data'!$C$62))/SUMIFS('Financial Analysis'!$E$71:$E$790,'Financial Analysis'!$B$71:$B$790,$A157,'Financial Analysis'!$C$71:$C$790,"&gt;="&amp;'Assumptions &amp; Data'!$C$62)</f>
        <v>22.218011962198</v>
      </c>
      <c r="BX157" s="40" t="n">
        <f aca="false">SUMIFS('Financial Analysis'!$V$71:$V$790,'Financial Analysis'!$B$71:$B$790,$A157,'Financial Analysis'!$C$71:$C$790,"&gt;="&amp;'Assumptions &amp; Data'!$C$62)/SUMIFS('Financial Analysis'!$E$71:$E$790,'Financial Analysis'!$B$71:$B$790,$A157,'Financial Analysis'!$C$71:$C$790,"&gt;="&amp;'Assumptions &amp; Data'!$C$62)</f>
        <v>-16.9865829143154</v>
      </c>
      <c r="BY157" s="37" t="n">
        <f aca="false">'Assumptions &amp; Data'!J193</f>
        <v>24</v>
      </c>
      <c r="BZ157" s="39" t="str">
        <f aca="false">IF(BK157="Close",COUNTIF($BK$106:BK157,"Close"),"")</f>
        <v/>
      </c>
    </row>
    <row r="158" customFormat="false" ht="15" hidden="false" customHeight="false" outlineLevel="0" collapsed="false">
      <c r="A158" s="48" t="str">
        <f aca="false">'Assumptions &amp; Data'!A194</f>
        <v>DS053</v>
      </c>
      <c r="B158" s="48" t="str">
        <f aca="false">'Assumptions &amp; Data'!B194</f>
        <v>Pune</v>
      </c>
      <c r="C158" s="48" t="str">
        <f aca="false">'Assumptions &amp; Data'!C194</f>
        <v>Mixed use</v>
      </c>
      <c r="D158" s="37" t="n">
        <f aca="false">'Assumptions &amp; Data'!D194</f>
        <v>20</v>
      </c>
      <c r="E158" s="39" t="n">
        <f aca="false">SUMIFS('Financial Analysis'!$E$71:$E$790,'Financial Analysis'!$B$71:$B$790,$A158,'Financial Analysis'!$C$71:$C$790,"&gt;="&amp;'Assumptions &amp; Data'!$C$62)/'Assumptions &amp; Data'!$C$63</f>
        <v>659.478260869565</v>
      </c>
      <c r="F158" s="40" t="n">
        <f aca="false">SUMIFS('Financial Analysis'!$H$71:$H$790,'Financial Analysis'!$B$71:$B$790,$A158,'Financial Analysis'!$C$71:$C$790,"&gt;="&amp;'Assumptions &amp; Data'!$C$62)/'Assumptions &amp; Data'!$C$85/100000</f>
        <v>120.502065810667</v>
      </c>
      <c r="G158" s="40" t="n">
        <f aca="false">SUMIFS('Financial Analysis'!$F$71:$F$790,'Financial Analysis'!$B$71:$B$790,$A158,'Financial Analysis'!$C$71:$C$790,"&gt;="&amp;'Assumptions &amp; Data'!$C$62)/SUMIFS('Financial Analysis'!$E$71:$E$790,'Financial Analysis'!$B$71:$B$790,$A158,'Financial Analysis'!$C$71:$C$790,"&gt;="&amp;'Assumptions &amp; Data'!$C$62)</f>
        <v>629.715835970464</v>
      </c>
      <c r="H158" s="49" t="n">
        <f aca="false">SUMIFS('Financial Analysis'!$G$71:$G$790,'Financial Analysis'!$B$71:$B$790,$A158,'Financial Analysis'!$C$71:$C$790,"&gt;="&amp;'Assumptions &amp; Data'!$C$62)/SUMIFS('Financial Analysis'!$F$71:$F$790,'Financial Analysis'!$B$71:$B$790,$A158,'Financial Analysis'!$C$71:$C$790,"&gt;="&amp;'Assumptions &amp; Data'!$C$62)</f>
        <v>0.053800268120401</v>
      </c>
      <c r="I158" s="49" t="n">
        <f aca="false">SUMIFS('Financial Analysis'!$L$71:$L$790,'Financial Analysis'!$B$71:$B$790,$A158,'Financial Analysis'!$C$71:$C$790,"&gt;="&amp;'Assumptions &amp; Data'!$C$62)/SUMIFS('Financial Analysis'!$H$71:$H$790,'Financial Analysis'!$B$71:$B$790,$A158,'Financial Analysis'!$C$71:$C$790,"&gt;="&amp;'Assumptions &amp; Data'!$C$62)</f>
        <v>0.0392115915542118</v>
      </c>
      <c r="J158" s="40" t="n">
        <f aca="false">SUMIFS('Financial Analysis'!$N$71:$N$790,'Financial Analysis'!$B$71:$B$790,$A158,'Financial Analysis'!$C$71:$C$790,"&gt;="&amp;'Assumptions &amp; Data'!$C$62)/SUMIFS('Financial Analysis'!$E$71:$E$790,'Financial Analysis'!$B$71:$B$790,$A158,'Financial Analysis'!$C$71:$C$790,"&gt;="&amp;'Assumptions &amp; Data'!$C$62)</f>
        <v>41.1569132383966</v>
      </c>
      <c r="K158" s="40" t="n">
        <f aca="false">SUMIFS('Financial Analysis'!$R$71:$R$790,'Financial Analysis'!$B$71:$B$790,$A158,'Financial Analysis'!$C$71:$C$790,"&gt;="&amp;'Assumptions &amp; Data'!$C$62)/AVERAGEIFS('Assumptions &amp; Data'!$M$205:$M$924,'Assumptions &amp; Data'!$B$205:$B$924,$A158,'Assumptions &amp; Data'!$C$205:$C$924,"&gt;="&amp;'Assumptions &amp; Data'!$C$62)/'Assumptions &amp; Data'!$C$85</f>
        <v>19.6669602927226</v>
      </c>
      <c r="L158" s="40" t="n">
        <f aca="false">E158/K158</f>
        <v>33.5322922838052</v>
      </c>
      <c r="M158" s="40" t="n">
        <f aca="false">SUMIFS('Financial Analysis'!$Q$71:$Q$790,'Financial Analysis'!$B$71:$B$790,$A158,'Financial Analysis'!$C$71:$C$790,"&gt;="&amp;'Assumptions &amp; Data'!$C$62)/SUMIFS('Financial Analysis'!$E$71:$E$790,'Financial Analysis'!$B$71:$B$790,$A158,'Financial Analysis'!$C$71:$C$790,"&gt;="&amp;'Assumptions &amp; Data'!$C$62)</f>
        <v>46.857960713318</v>
      </c>
      <c r="N158" s="40" t="n">
        <f aca="false">SUMIFS('Financial Analysis'!$Y$71:$Y$790,'Financial Analysis'!$B$71:$B$790,$A158,'Financial Analysis'!$C$71:$C$790,"&gt;="&amp;'Assumptions &amp; Data'!$C$62)/'Assumptions &amp; Data'!$C$85/100000</f>
        <v>9.12031666666667</v>
      </c>
      <c r="O158" s="40" t="n">
        <f aca="false">SUMIFS('Financial Analysis'!$V$71:$V$790,'Financial Analysis'!$B$71:$B$790,$A158,'Financial Analysis'!$C$71:$C$790,"&gt;="&amp;'Assumptions &amp; Data'!$C$62)/'Assumptions &amp; Data'!$C$85/100000</f>
        <v>0.356237307994772</v>
      </c>
      <c r="P158" s="49" t="n">
        <f aca="false">O158/F158</f>
        <v>0.00295627552605193</v>
      </c>
      <c r="Q158" s="39" t="n">
        <f aca="false">IF(M158&gt;0,N158*100000/(M158*'Assumptions &amp; Data'!$C$63/'Assumptions &amp; Data'!$C$85),9999)</f>
        <v>634.687523544435</v>
      </c>
      <c r="R158" s="49" t="n">
        <f aca="false">E158/Q158-1</f>
        <v>0.0390597520913683</v>
      </c>
      <c r="S158" s="50" t="n">
        <f aca="false">'Assumptions &amp; Data'!E194</f>
        <v>24.6</v>
      </c>
      <c r="T158" s="50" t="n">
        <f aca="false">'Assumptions &amp; Data'!G194</f>
        <v>3</v>
      </c>
      <c r="U158" s="49" t="n">
        <f aca="false">MAX(0,('Assumptions &amp; Data'!$C$72-T158)/'Assumptions &amp; Data'!$C$72)*'Assumptions &amp; Data'!$C$73</f>
        <v>0</v>
      </c>
      <c r="V158" s="39" t="n">
        <f aca="false">S158*$B$6*(1-U158)</f>
        <v>876.289532593893</v>
      </c>
      <c r="W158" s="49" t="n">
        <f aca="false">V158/E158-1</f>
        <v>0.328761817619959</v>
      </c>
      <c r="X158" s="39" t="n">
        <f aca="false">IF(D158&gt;='Assumptions &amp; Data'!$C$64,1,0)</f>
        <v>1</v>
      </c>
      <c r="Y158" s="40" t="n">
        <f aca="false">IF(AND(X158=1,T158&gt;='Assumptions &amp; Data'!$C$72),E158/S158,"")</f>
        <v>26.8080593849417</v>
      </c>
      <c r="Z158" s="49" t="n">
        <f aca="false">IF(X158=1,H158,"")</f>
        <v>0.053800268120401</v>
      </c>
      <c r="AA158" s="49" t="n">
        <f aca="false">IF(X158=1,I158,"")</f>
        <v>0.0392115915542118</v>
      </c>
      <c r="AB158" s="40" t="n">
        <f aca="false">IF(X158=1,J158,"")</f>
        <v>41.1569132383966</v>
      </c>
      <c r="AC158" s="40" t="n">
        <f aca="false">IF(X158=1,L158,"")</f>
        <v>33.5322922838052</v>
      </c>
      <c r="AD158" s="40" t="n">
        <f aca="false">IF(X158=1,AP158/E158*100,"")</f>
        <v>454.905063291139</v>
      </c>
      <c r="AE158" s="40" t="n">
        <f aca="false">IF(X158=1,M158,"")</f>
        <v>46.857960713318</v>
      </c>
      <c r="AF158" s="40" t="n">
        <f aca="false">E158*'Assumptions &amp; Data'!$C$63/'Assumptions &amp; Data'!$C$85*G158/100000</f>
        <v>127.353730666667</v>
      </c>
      <c r="AG158" s="49" t="n">
        <f aca="false">MAX(0,H158-$B$7)</f>
        <v>0</v>
      </c>
      <c r="AH158" s="40" t="n">
        <f aca="false">AG158*AF158</f>
        <v>0</v>
      </c>
      <c r="AI158" s="40" t="n">
        <f aca="false">AG158*100*E158*'Assumptions &amp; Data'!$C$63/'Assumptions &amp; Data'!$C$85*M158/100000</f>
        <v>0</v>
      </c>
      <c r="AJ158" s="49" t="n">
        <f aca="false">MAX(0,I158-$B$8)</f>
        <v>0.0178069978439247</v>
      </c>
      <c r="AK158" s="40" t="n">
        <f aca="false">AJ158*F158</f>
        <v>2.14578002607901</v>
      </c>
      <c r="AL158" s="40" t="n">
        <f aca="false">MAX(0,K158-E158/$B$10)</f>
        <v>2.38868230440576</v>
      </c>
      <c r="AM158" s="40" t="n">
        <f aca="false">AL158*BN158/K158</f>
        <v>0.470028979312268</v>
      </c>
      <c r="AN158" s="40" t="n">
        <f aca="false">MAX(0,J158-$B$9)</f>
        <v>2.95075664193587</v>
      </c>
      <c r="AO158" s="40" t="n">
        <f aca="false">AN158*E158*'Assumptions &amp; Data'!$C$63/'Assumptions &amp; Data'!$C$85/100000</f>
        <v>0.59676102326511</v>
      </c>
      <c r="AP158" s="37" t="n">
        <f aca="false">'Assumptions &amp; Data'!H194</f>
        <v>3000</v>
      </c>
      <c r="AQ158" s="39" t="n">
        <f aca="false">MIN(AP158,$B$11*E158/100)</f>
        <v>2533.95845736044</v>
      </c>
      <c r="AR158" s="39" t="n">
        <f aca="false">IF(AP158-AQ158&gt;'Assumptions &amp; Data'!$C$78*AP158,AP158-AQ158,0)</f>
        <v>466.041542639563</v>
      </c>
      <c r="AS158" s="50" t="n">
        <f aca="false">'Assumptions &amp; Data'!I194</f>
        <v>89</v>
      </c>
      <c r="AT158" s="40" t="n">
        <f aca="false">INDEX('Assumptions &amp; Data'!$B$89:$E$94,MATCH(B158,'Assumptions &amp; Data'!$A$89:$A$94,0),MATCH(C158,'Assumptions &amp; Data'!$B$88:$E$88,0))</f>
        <v>117</v>
      </c>
      <c r="AU158" s="39" t="n">
        <f aca="false">IF(BY158&lt;='Assumptions &amp; Data'!$C$79,1,0)</f>
        <v>1</v>
      </c>
      <c r="AV158" s="40" t="n">
        <f aca="false">AU158*(AR158*AS158+MAX(0,AS158-AT158)*(AP158-AR158))/100000</f>
        <v>0.414776972949212</v>
      </c>
      <c r="AW158" s="40" t="n">
        <f aca="false">'Assumptions &amp; Data'!$C$67*(AH158-'Assumptions &amp; Data'!$C$68*AI158+AK158+AM158+AO158+AV158)</f>
        <v>2.17640820096336</v>
      </c>
      <c r="AX158" s="40" t="n">
        <f aca="false">O158+AW158</f>
        <v>2.53264550895814</v>
      </c>
      <c r="AY158" s="49" t="n">
        <f aca="false">IF(D158&lt;'Assumptions &amp; Data'!$C$64,'Assumptions &amp; Data'!$C$70,'Assumptions &amp; Data'!$C$69)</f>
        <v>0.5</v>
      </c>
      <c r="AZ158" s="40" t="n">
        <f aca="false">AY158*MAX(0,V158-E158)*'Assumptions &amp; Data'!$C$63/'Assumptions &amp; Data'!$C$85*(M158-'Assumptions &amp; Data'!$C$71)/100000</f>
        <v>1.22532060476437</v>
      </c>
      <c r="BA158" s="40" t="n">
        <f aca="false">AX158+AZ158</f>
        <v>3.7579661137225</v>
      </c>
      <c r="BB158" s="40" t="n">
        <f aca="false">BA158+(1-'Assumptions &amp; Data'!$C$67)*AV158</f>
        <v>3.92387690290219</v>
      </c>
      <c r="BC158" s="48" t="str">
        <f aca="false">'Assumptions &amp; Data'!F194</f>
        <v>DS051</v>
      </c>
      <c r="BD158" s="39" t="n">
        <f aca="false">INDEX('Assumptions &amp; Data'!$K$142:$K$201,MATCH(BC158,'Assumptions &amp; Data'!$A$142:$A$201,0))*'Assumptions &amp; Data'!$C$77</f>
        <v>1296</v>
      </c>
      <c r="BE158" s="39" t="n">
        <f aca="false">MAX(0,BD158-INDEX($E$106:$E$165,MATCH(BC158,$A$106:$A$165,0)))</f>
        <v>173.032608695652</v>
      </c>
      <c r="BF158" s="39" t="n">
        <f aca="false">IF(T158&lt;='Assumptions &amp; Data'!$C$74,MIN('Assumptions &amp; Data'!$C$76*E158,BE158),0)</f>
        <v>0</v>
      </c>
      <c r="BG158" s="40" t="n">
        <f aca="false">-O158+BF158*'Assumptions &amp; Data'!$C$63/'Assumptions &amp; Data'!$C$85*($B$12-'Assumptions &amp; Data'!$C$71)/100000</f>
        <v>-0.356237307994772</v>
      </c>
      <c r="BH158" s="40" t="n">
        <f aca="false">(AS158*AP158*BY158*'Assumptions &amp; Data'!$C$82+K158*(BN158*100000/K158)*'Assumptions &amp; Data'!$C$80*(1-'Assumptions &amp; Data'!$C$81)+AP158*'Assumptions &amp; Data'!$C$83)/100000</f>
        <v>11.08794</v>
      </c>
      <c r="BI158" s="40" t="n">
        <f aca="false">'Assumptions &amp; Data'!L194*MAX(0,1-D158/'Assumptions &amp; Data'!$C$84)</f>
        <v>77.7142857142857</v>
      </c>
      <c r="BJ158" s="40" t="n">
        <f aca="false">IF(BG158&gt;0,BH158/BG158,99)</f>
        <v>99</v>
      </c>
      <c r="BK158" s="2" t="str">
        <f aca="false">IF(AND(P158&gt;='Assumptions &amp; Data'!$C$65,R158&gt;=0,W158&gt;='Assumptions &amp; Data'!$C$66),"Scale",IF(OR(O158&gt;=0,AX158&gt;=0),"Optimise",IF(BA158&gt;=0,"Turn around",IF(BB158&gt;=0,"Relocate or resize",IF(AND(BF158&gt;0,BJ158&lt;='Assumptions &amp; Data'!$C$75,D158&gt;='Assumptions &amp; Data'!$C$64),"Close","Relocate or resize")))))</f>
        <v>Optimise</v>
      </c>
      <c r="BL158" s="42" t="str">
        <f aca="false">INDEX($BK$106:$BK$165,MATCH(BC158,$A$106:$A$165,0))</f>
        <v>Scale</v>
      </c>
      <c r="BM158" s="42" t="str">
        <f aca="false">IF(RANK(P158,$P$106:$P$165)&lt;=ROUND(COUNT($P$106:$P$165)/4,0),"Q1 top",IF(RANK(P158,$P$106:$P$165)&gt;COUNT($P$106:$P$165)-ROUND(COUNT($P$106:$P$165)/4,0),"Q4 bottom","Q2-Q3 middle"))</f>
        <v>Q2-Q3 middle</v>
      </c>
      <c r="BN158" s="40" t="n">
        <f aca="false">SUMIFS('Financial Analysis'!$R$71:$R$790,'Financial Analysis'!$B$71:$B$790,$A158,'Financial Analysis'!$C$71:$C$790,"&gt;="&amp;'Assumptions &amp; Data'!$C$62)/'Assumptions &amp; Data'!$C$85/100000</f>
        <v>3.86993333333333</v>
      </c>
      <c r="BO158" s="40" t="n">
        <f aca="false">SUMIFS('Financial Analysis'!$H$71:$H$790,'Financial Analysis'!$B$71:$B$790,$A158,'Financial Analysis'!$C$71:$C$790,"&gt;="&amp;'Assumptions &amp; Data'!$C$62)/SUMIFS('Financial Analysis'!$E$71:$E$790,'Financial Analysis'!$B$71:$B$790,$A158,'Financial Analysis'!$C$71:$C$790,"&gt;="&amp;'Assumptions &amp; Data'!$C$62)</f>
        <v>595.836955155591</v>
      </c>
      <c r="BP158" s="40" t="n">
        <f aca="false">(SUMIFS('Financial Analysis'!$I$71:$I$790,'Financial Analysis'!$B$71:$B$790,$A158,'Financial Analysis'!$C$71:$C$790,"&gt;="&amp;'Assumptions &amp; Data'!$C$62)+SUMIFS('Financial Analysis'!$J$71:$J$790,'Financial Analysis'!$B$71:$B$790,$A158,'Financial Analysis'!$C$71:$C$790,"&gt;="&amp;'Assumptions &amp; Data'!$C$62)+SUMIFS('Financial Analysis'!$K$71:$K$790,'Financial Analysis'!$B$71:$B$790,$A158,'Financial Analysis'!$C$71:$C$790,"&gt;="&amp;'Assumptions &amp; Data'!$C$62))/SUMIFS('Financial Analysis'!$E$71:$E$790,'Financial Analysis'!$B$71:$B$790,$A158,'Financial Analysis'!$C$71:$C$790,"&gt;="&amp;'Assumptions &amp; Data'!$C$62)</f>
        <v>127.330542741088</v>
      </c>
      <c r="BQ158" s="40" t="n">
        <f aca="false">SUMIFS('Financial Analysis'!$L$71:$L$790,'Financial Analysis'!$B$71:$B$790,$A158,'Financial Analysis'!$C$71:$C$790,"&gt;="&amp;'Assumptions &amp; Data'!$C$62)/SUMIFS('Financial Analysis'!$E$71:$E$790,'Financial Analysis'!$B$71:$B$790,$A158,'Financial Analysis'!$C$71:$C$790,"&gt;="&amp;'Assumptions &amp; Data'!$C$62)</f>
        <v>23.3637153184662</v>
      </c>
      <c r="BR158" s="40" t="n">
        <f aca="false">SUMIFS('Financial Analysis'!$L$71:$L$790,'Financial Analysis'!$B$71:$B$790,$A158,'Financial Analysis'!$C$71:$C$790,"&gt;="&amp;'Assumptions &amp; Data'!$C$62)/SUMIFS('Financial Analysis'!$E$71:$E$790,'Financial Analysis'!$B$71:$B$790,$A158,'Financial Analysis'!$C$71:$C$790,"&gt;="&amp;'Assumptions &amp; Data'!$C$62)</f>
        <v>23.3637153184662</v>
      </c>
      <c r="BS158" s="40" t="n">
        <f aca="false">SUMIFS('Financial Analysis'!$N$71:$N$790,'Financial Analysis'!$B$71:$B$790,$A158,'Financial Analysis'!$C$71:$C$790,"&gt;="&amp;'Assumptions &amp; Data'!$C$62)/SUMIFS('Financial Analysis'!$E$71:$E$790,'Financial Analysis'!$B$71:$B$790,$A158,'Financial Analysis'!$C$71:$C$790,"&gt;="&amp;'Assumptions &amp; Data'!$C$62)</f>
        <v>41.1569132383966</v>
      </c>
      <c r="BT158" s="40" t="n">
        <f aca="false">(SUMIFS('Financial Analysis'!$O$71:$O$790,'Financial Analysis'!$B$71:$B$790,$A158,'Financial Analysis'!$C$71:$C$790,"&gt;="&amp;'Assumptions &amp; Data'!$C$62)+SUMIFS('Financial Analysis'!$P$71:$P$790,'Financial Analysis'!$B$71:$B$790,$A158,'Financial Analysis'!$C$71:$C$790,"&gt;="&amp;'Assumptions &amp; Data'!$C$62))/SUMIFS('Financial Analysis'!$E$71:$E$790,'Financial Analysis'!$B$71:$B$790,$A158,'Financial Analysis'!$C$71:$C$790,"&gt;="&amp;'Assumptions &amp; Data'!$C$62)</f>
        <v>15.9519534709069</v>
      </c>
      <c r="BU158" s="40" t="n">
        <f aca="false">SUMIFS('Financial Analysis'!$R$71:$R$790,'Financial Analysis'!$B$71:$B$790,$A158,'Financial Analysis'!$C$71:$C$790,"&gt;="&amp;'Assumptions &amp; Data'!$C$62)/SUMIFS('Financial Analysis'!$E$71:$E$790,'Financial Analysis'!$B$71:$B$790,$A158,'Financial Analysis'!$C$71:$C$790,"&gt;="&amp;'Assumptions &amp; Data'!$C$62)</f>
        <v>19.1353507383966</v>
      </c>
      <c r="BV158" s="40" t="n">
        <f aca="false">SUMIFS('Financial Analysis'!$S$71:$S$790,'Financial Analysis'!$B$71:$B$790,$A158,'Financial Analysis'!$C$71:$C$790,"&gt;="&amp;'Assumptions &amp; Data'!$C$62)/SUMIFS('Financial Analysis'!$E$71:$E$790,'Financial Analysis'!$B$71:$B$790,$A158,'Financial Analysis'!$C$71:$C$790,"&gt;="&amp;'Assumptions &amp; Data'!$C$62)</f>
        <v>13.2021360759494</v>
      </c>
      <c r="BW158" s="40" t="n">
        <f aca="false">(SUMIFS('Financial Analysis'!$T$71:$T$790,'Financial Analysis'!$B$71:$B$790,$A158,'Financial Analysis'!$C$71:$C$790,"&gt;="&amp;'Assumptions &amp; Data'!$C$62)+SUMIFS('Financial Analysis'!$U$71:$U$790,'Financial Analysis'!$B$71:$B$790,$A158,'Financial Analysis'!$C$71:$C$790,"&gt;="&amp;'Assumptions &amp; Data'!$C$62))/SUMIFS('Financial Analysis'!$E$71:$E$790,'Financial Analysis'!$B$71:$B$790,$A158,'Financial Analysis'!$C$71:$C$790,"&gt;="&amp;'Assumptions &amp; Data'!$C$62)</f>
        <v>12.7590156909283</v>
      </c>
      <c r="BX158" s="40" t="n">
        <f aca="false">SUMIFS('Financial Analysis'!$V$71:$V$790,'Financial Analysis'!$B$71:$B$790,$A158,'Financial Analysis'!$C$71:$C$790,"&gt;="&amp;'Assumptions &amp; Data'!$C$62)/SUMIFS('Financial Analysis'!$E$71:$E$790,'Financial Analysis'!$B$71:$B$790,$A158,'Financial Analysis'!$C$71:$C$790,"&gt;="&amp;'Assumptions &amp; Data'!$C$62)</f>
        <v>1.76145820804377</v>
      </c>
      <c r="BY158" s="37" t="n">
        <f aca="false">'Assumptions &amp; Data'!J194</f>
        <v>3</v>
      </c>
      <c r="BZ158" s="39" t="str">
        <f aca="false">IF(BK158="Close",COUNTIF($BK$106:BK158,"Close"),"")</f>
        <v/>
      </c>
    </row>
    <row r="159" customFormat="false" ht="15" hidden="false" customHeight="false" outlineLevel="0" collapsed="false">
      <c r="A159" s="48" t="str">
        <f aca="false">'Assumptions &amp; Data'!A195</f>
        <v>DS054</v>
      </c>
      <c r="B159" s="48" t="str">
        <f aca="false">'Assumptions &amp; Data'!B195</f>
        <v>Pune</v>
      </c>
      <c r="C159" s="48" t="str">
        <f aca="false">'Assumptions &amp; Data'!C195</f>
        <v>Mixed use</v>
      </c>
      <c r="D159" s="37" t="n">
        <f aca="false">'Assumptions &amp; Data'!D195</f>
        <v>10</v>
      </c>
      <c r="E159" s="39" t="n">
        <f aca="false">SUMIFS('Financial Analysis'!$E$71:$E$790,'Financial Analysis'!$B$71:$B$790,$A159,'Financial Analysis'!$C$71:$C$790,"&gt;="&amp;'Assumptions &amp; Data'!$C$62)/'Assumptions &amp; Data'!$C$63</f>
        <v>299.826086956522</v>
      </c>
      <c r="F159" s="40" t="n">
        <f aca="false">SUMIFS('Financial Analysis'!$H$71:$H$790,'Financial Analysis'!$B$71:$B$790,$A159,'Financial Analysis'!$C$71:$C$790,"&gt;="&amp;'Assumptions &amp; Data'!$C$62)/'Assumptions &amp; Data'!$C$85/100000</f>
        <v>53.0495918610667</v>
      </c>
      <c r="G159" s="40" t="n">
        <f aca="false">SUMIFS('Financial Analysis'!$F$71:$F$790,'Financial Analysis'!$B$71:$B$790,$A159,'Financial Analysis'!$C$71:$C$790,"&gt;="&amp;'Assumptions &amp; Data'!$C$62)/SUMIFS('Financial Analysis'!$E$71:$E$790,'Financial Analysis'!$B$71:$B$790,$A159,'Financial Analysis'!$C$71:$C$790,"&gt;="&amp;'Assumptions &amp; Data'!$C$62)</f>
        <v>619.997690690255</v>
      </c>
      <c r="H159" s="49" t="n">
        <f aca="false">SUMIFS('Financial Analysis'!$G$71:$G$790,'Financial Analysis'!$B$71:$B$790,$A159,'Financial Analysis'!$C$71:$C$790,"&gt;="&amp;'Assumptions &amp; Data'!$C$62)/SUMIFS('Financial Analysis'!$F$71:$F$790,'Financial Analysis'!$B$71:$B$790,$A159,'Financial Analysis'!$C$71:$C$790,"&gt;="&amp;'Assumptions &amp; Data'!$C$62)</f>
        <v>0.0694151333302144</v>
      </c>
      <c r="I159" s="49" t="n">
        <f aca="false">SUMIFS('Financial Analysis'!$L$71:$L$790,'Financial Analysis'!$B$71:$B$790,$A159,'Financial Analysis'!$C$71:$C$790,"&gt;="&amp;'Assumptions &amp; Data'!$C$62)/SUMIFS('Financial Analysis'!$H$71:$H$790,'Financial Analysis'!$B$71:$B$790,$A159,'Financial Analysis'!$C$71:$C$790,"&gt;="&amp;'Assumptions &amp; Data'!$C$62)</f>
        <v>0.0345015717772903</v>
      </c>
      <c r="J159" s="40" t="n">
        <f aca="false">SUMIFS('Financial Analysis'!$N$71:$N$790,'Financial Analysis'!$B$71:$B$790,$A159,'Financial Analysis'!$C$71:$C$790,"&gt;="&amp;'Assumptions &amp; Data'!$C$62)/SUMIFS('Financial Analysis'!$E$71:$E$790,'Financial Analysis'!$B$71:$B$790,$A159,'Financial Analysis'!$C$71:$C$790,"&gt;="&amp;'Assumptions &amp; Data'!$C$62)</f>
        <v>42.0268354843388</v>
      </c>
      <c r="K159" s="40" t="n">
        <f aca="false">SUMIFS('Financial Analysis'!$R$71:$R$790,'Financial Analysis'!$B$71:$B$790,$A159,'Financial Analysis'!$C$71:$C$790,"&gt;="&amp;'Assumptions &amp; Data'!$C$62)/AVERAGEIFS('Assumptions &amp; Data'!$M$205:$M$924,'Assumptions &amp; Data'!$B$205:$B$924,$A159,'Assumptions &amp; Data'!$C$205:$C$924,"&gt;="&amp;'Assumptions &amp; Data'!$C$62)/'Assumptions &amp; Data'!$C$85</f>
        <v>16</v>
      </c>
      <c r="L159" s="40" t="n">
        <f aca="false">E159/K159</f>
        <v>18.7391304347826</v>
      </c>
      <c r="M159" s="40" t="n">
        <f aca="false">SUMIFS('Financial Analysis'!$Q$71:$Q$790,'Financial Analysis'!$B$71:$B$790,$A159,'Financial Analysis'!$C$71:$C$790,"&gt;="&amp;'Assumptions &amp; Data'!$C$62)/SUMIFS('Financial Analysis'!$E$71:$E$790,'Financial Analysis'!$B$71:$B$790,$A159,'Financial Analysis'!$C$71:$C$790,"&gt;="&amp;'Assumptions &amp; Data'!$C$62)</f>
        <v>45.6899777532061</v>
      </c>
      <c r="N159" s="40" t="n">
        <f aca="false">SUMIFS('Financial Analysis'!$Y$71:$Y$790,'Financial Analysis'!$B$71:$B$790,$A159,'Financial Analysis'!$C$71:$C$790,"&gt;="&amp;'Assumptions &amp; Data'!$C$62)/'Assumptions &amp; Data'!$C$85/100000</f>
        <v>9.67172</v>
      </c>
      <c r="O159" s="40" t="n">
        <f aca="false">SUMIFS('Financial Analysis'!$V$71:$V$790,'Financial Analysis'!$B$71:$B$790,$A159,'Financial Analysis'!$C$71:$C$790,"&gt;="&amp;'Assumptions &amp; Data'!$C$62)/'Assumptions &amp; Data'!$C$85/100000</f>
        <v>-5.47067884551855</v>
      </c>
      <c r="P159" s="49" t="n">
        <f aca="false">O159/F159</f>
        <v>-0.103123863042074</v>
      </c>
      <c r="Q159" s="39" t="n">
        <f aca="false">IF(M159&gt;0,N159*100000/(M159*'Assumptions &amp; Data'!$C$63/'Assumptions &amp; Data'!$C$85),9999)</f>
        <v>690.265544922296</v>
      </c>
      <c r="R159" s="49" t="n">
        <f aca="false">E159/Q159-1</f>
        <v>-0.565636602953616</v>
      </c>
      <c r="S159" s="50" t="n">
        <f aca="false">'Assumptions &amp; Data'!E195</f>
        <v>15.3</v>
      </c>
      <c r="T159" s="50" t="n">
        <f aca="false">'Assumptions &amp; Data'!G195</f>
        <v>1.4</v>
      </c>
      <c r="U159" s="49" t="n">
        <f aca="false">MAX(0,('Assumptions &amp; Data'!$C$72-T159)/'Assumptions &amp; Data'!$C$72)*'Assumptions &amp; Data'!$C$73</f>
        <v>0.0333333333333334</v>
      </c>
      <c r="V159" s="39" t="n">
        <f aca="false">S159*$B$6*(1-U159)</f>
        <v>526.842365327792</v>
      </c>
      <c r="W159" s="49" t="n">
        <f aca="false">V159/E159-1</f>
        <v>0.757159861157078</v>
      </c>
      <c r="X159" s="39" t="n">
        <f aca="false">IF(D159&gt;='Assumptions &amp; Data'!$C$64,1,0)</f>
        <v>0</v>
      </c>
      <c r="Y159" s="40" t="str">
        <f aca="false">IF(AND(X159=1,T159&gt;='Assumptions &amp; Data'!$C$72),E159/S159,"")</f>
        <v/>
      </c>
      <c r="Z159" s="49" t="str">
        <f aca="false">IF(X159=1,H159,"")</f>
        <v/>
      </c>
      <c r="AA159" s="49" t="str">
        <f aca="false">IF(X159=1,I159,"")</f>
        <v/>
      </c>
      <c r="AB159" s="40" t="str">
        <f aca="false">IF(X159=1,J159,"")</f>
        <v/>
      </c>
      <c r="AC159" s="40" t="str">
        <f aca="false">IF(X159=1,L159,"")</f>
        <v/>
      </c>
      <c r="AD159" s="40" t="str">
        <f aca="false">IF(X159=1,AP159/E159*100,"")</f>
        <v/>
      </c>
      <c r="AE159" s="40" t="str">
        <f aca="false">IF(X159=1,M159,"")</f>
        <v/>
      </c>
      <c r="AF159" s="40" t="n">
        <f aca="false">E159*'Assumptions &amp; Data'!$C$63/'Assumptions &amp; Data'!$C$85*G159/100000</f>
        <v>57.006721</v>
      </c>
      <c r="AG159" s="49" t="n">
        <f aca="false">MAX(0,H159-$B$7)</f>
        <v>0.0146100333269576</v>
      </c>
      <c r="AH159" s="40" t="n">
        <f aca="false">AG159*AF159</f>
        <v>0.832870093670574</v>
      </c>
      <c r="AI159" s="40" t="n">
        <f aca="false">AG159*100*E159*'Assumptions &amp; Data'!$C$63/'Assumptions &amp; Data'!$C$85*M159/100000</f>
        <v>6.13773512748945</v>
      </c>
      <c r="AJ159" s="49" t="n">
        <f aca="false">MAX(0,I159-$B$8)</f>
        <v>0.0130969780670032</v>
      </c>
      <c r="AK159" s="40" t="n">
        <f aca="false">AJ159*F159</f>
        <v>0.694789341067862</v>
      </c>
      <c r="AL159" s="40" t="n">
        <f aca="false">MAX(0,K159-E159/$B$10)</f>
        <v>8.14458036607114</v>
      </c>
      <c r="AM159" s="40" t="n">
        <f aca="false">AL159*BN159/K159</f>
        <v>1.60263622723304</v>
      </c>
      <c r="AN159" s="40" t="n">
        <f aca="false">MAX(0,J159-$B$9)</f>
        <v>3.82067888787799</v>
      </c>
      <c r="AO159" s="40" t="n">
        <f aca="false">AN159*E159*'Assumptions &amp; Data'!$C$63/'Assumptions &amp; Data'!$C$85/100000</f>
        <v>0.351298688144088</v>
      </c>
      <c r="AP159" s="37" t="n">
        <f aca="false">'Assumptions &amp; Data'!H195</f>
        <v>4000</v>
      </c>
      <c r="AQ159" s="39" t="n">
        <f aca="false">MIN(AP159,$B$11*E159/100)</f>
        <v>1152.04229443286</v>
      </c>
      <c r="AR159" s="39" t="n">
        <f aca="false">IF(AP159-AQ159&gt;'Assumptions &amp; Data'!$C$78*AP159,AP159-AQ159,0)</f>
        <v>2847.95770556714</v>
      </c>
      <c r="AS159" s="50" t="n">
        <f aca="false">'Assumptions &amp; Data'!I195</f>
        <v>101</v>
      </c>
      <c r="AT159" s="40" t="n">
        <f aca="false">INDEX('Assumptions &amp; Data'!$B$89:$E$94,MATCH(B159,'Assumptions &amp; Data'!$A$89:$A$94,0),MATCH(C159,'Assumptions &amp; Data'!$B$88:$E$88,0))</f>
        <v>117</v>
      </c>
      <c r="AU159" s="39" t="n">
        <f aca="false">IF(BY159&lt;='Assumptions &amp; Data'!$C$79,1,0)</f>
        <v>0</v>
      </c>
      <c r="AV159" s="40" t="n">
        <f aca="false">AU159*(AR159*AS159+MAX(0,AS159-AT159)*(AP159-AR159))/100000</f>
        <v>0</v>
      </c>
      <c r="AW159" s="40" t="n">
        <f aca="false">'Assumptions &amp; Data'!$C$67*(AH159-'Assumptions &amp; Data'!$C$68*AI159+AK159+AM159+AO159+AV159)</f>
        <v>2.0521301993044</v>
      </c>
      <c r="AX159" s="40" t="n">
        <f aca="false">O159+AW159</f>
        <v>-3.41854864621415</v>
      </c>
      <c r="AY159" s="49" t="n">
        <f aca="false">IF(D159&lt;'Assumptions &amp; Data'!$C$64,'Assumptions &amp; Data'!$C$70,'Assumptions &amp; Data'!$C$69)</f>
        <v>0.8</v>
      </c>
      <c r="AZ159" s="40" t="n">
        <f aca="false">AY159*MAX(0,V159-E159)*'Assumptions &amp; Data'!$C$63/'Assumptions &amp; Data'!$C$85*(M159-'Assumptions &amp; Data'!$C$71)/100000</f>
        <v>1.98774118685636</v>
      </c>
      <c r="BA159" s="40" t="n">
        <f aca="false">AX159+AZ159</f>
        <v>-1.43080745935778</v>
      </c>
      <c r="BB159" s="40" t="n">
        <f aca="false">BA159+(1-'Assumptions &amp; Data'!$C$67)*AV159</f>
        <v>-1.43080745935778</v>
      </c>
      <c r="BC159" s="48" t="str">
        <f aca="false">'Assumptions &amp; Data'!F195</f>
        <v>DS050</v>
      </c>
      <c r="BD159" s="39" t="n">
        <f aca="false">INDEX('Assumptions &amp; Data'!$K$142:$K$201,MATCH(BC159,'Assumptions &amp; Data'!$A$142:$A$201,0))*'Assumptions &amp; Data'!$C$77</f>
        <v>1134</v>
      </c>
      <c r="BE159" s="39" t="n">
        <f aca="false">MAX(0,BD159-INDEX($E$106:$E$165,MATCH(BC159,$A$106:$A$165,0)))</f>
        <v>448.510869565217</v>
      </c>
      <c r="BF159" s="39" t="n">
        <f aca="false">IF(T159&lt;='Assumptions &amp; Data'!$C$74,MIN('Assumptions &amp; Data'!$C$76*E159,BE159),0)</f>
        <v>179.895652173913</v>
      </c>
      <c r="BG159" s="40" t="n">
        <f aca="false">-O159+BF159*'Assumptions &amp; Data'!$C$63/'Assumptions &amp; Data'!$C$85*($B$12-'Assumptions &amp; Data'!$C$71)/100000</f>
        <v>8.4904114880247</v>
      </c>
      <c r="BH159" s="40" t="n">
        <f aca="false">(AS159*AP159*BY159*'Assumptions &amp; Data'!$C$82+K159*(BN159*100000/K159)*'Assumptions &amp; Data'!$C$80*(1-'Assumptions &amp; Data'!$C$81)+AP159*'Assumptions &amp; Data'!$C$83)/100000</f>
        <v>80.353536</v>
      </c>
      <c r="BI159" s="40" t="n">
        <f aca="false">'Assumptions &amp; Data'!L195*MAX(0,1-D159/'Assumptions &amp; Data'!$C$84)</f>
        <v>119.809523809524</v>
      </c>
      <c r="BJ159" s="40" t="n">
        <f aca="false">IF(BG159&gt;0,BH159/BG159,99)</f>
        <v>9.46403317593437</v>
      </c>
      <c r="BK159" s="2" t="str">
        <f aca="false">IF(AND(P159&gt;='Assumptions &amp; Data'!$C$65,R159&gt;=0,W159&gt;='Assumptions &amp; Data'!$C$66),"Scale",IF(OR(O159&gt;=0,AX159&gt;=0),"Optimise",IF(BA159&gt;=0,"Turn around",IF(BB159&gt;=0,"Relocate or resize",IF(AND(BF159&gt;0,BJ159&lt;='Assumptions &amp; Data'!$C$75,D159&gt;='Assumptions &amp; Data'!$C$64),"Close","Relocate or resize")))))</f>
        <v>Relocate or resize</v>
      </c>
      <c r="BL159" s="42" t="str">
        <f aca="false">INDEX($BK$106:$BK$165,MATCH(BC159,$A$106:$A$165,0))</f>
        <v>Optimise</v>
      </c>
      <c r="BM159" s="42" t="str">
        <f aca="false">IF(RANK(P159,$P$106:$P$165)&lt;=ROUND(COUNT($P$106:$P$165)/4,0),"Q1 top",IF(RANK(P159,$P$106:$P$165)&gt;COUNT($P$106:$P$165)-ROUND(COUNT($P$106:$P$165)/4,0),"Q4 bottom","Q2-Q3 middle"))</f>
        <v>Q4 bottom</v>
      </c>
      <c r="BN159" s="40" t="n">
        <f aca="false">SUMIFS('Financial Analysis'!$R$71:$R$790,'Financial Analysis'!$B$71:$B$790,$A159,'Financial Analysis'!$C$71:$C$790,"&gt;="&amp;'Assumptions &amp; Data'!$C$62)/'Assumptions &amp; Data'!$C$85/100000</f>
        <v>3.14837333333333</v>
      </c>
      <c r="BO159" s="40" t="n">
        <f aca="false">SUMIFS('Financial Analysis'!$H$71:$H$790,'Financial Analysis'!$B$71:$B$790,$A159,'Financial Analysis'!$C$71:$C$790,"&gt;="&amp;'Assumptions &amp; Data'!$C$62)/SUMIFS('Financial Analysis'!$E$71:$E$790,'Financial Analysis'!$B$71:$B$790,$A159,'Financial Analysis'!$C$71:$C$790,"&gt;="&amp;'Assumptions &amp; Data'!$C$62)</f>
        <v>576.960468326566</v>
      </c>
      <c r="BP159" s="40" t="n">
        <f aca="false">(SUMIFS('Financial Analysis'!$I$71:$I$790,'Financial Analysis'!$B$71:$B$790,$A159,'Financial Analysis'!$C$71:$C$790,"&gt;="&amp;'Assumptions &amp; Data'!$C$62)+SUMIFS('Financial Analysis'!$J$71:$J$790,'Financial Analysis'!$B$71:$B$790,$A159,'Financial Analysis'!$C$71:$C$790,"&gt;="&amp;'Assumptions &amp; Data'!$C$62)+SUMIFS('Financial Analysis'!$K$71:$K$790,'Financial Analysis'!$B$71:$B$790,$A159,'Financial Analysis'!$C$71:$C$790,"&gt;="&amp;'Assumptions &amp; Data'!$C$62))/SUMIFS('Financial Analysis'!$E$71:$E$790,'Financial Analysis'!$B$71:$B$790,$A159,'Financial Analysis'!$C$71:$C$790,"&gt;="&amp;'Assumptions &amp; Data'!$C$62)</f>
        <v>123.076932707469</v>
      </c>
      <c r="BQ159" s="40" t="n">
        <f aca="false">SUMIFS('Financial Analysis'!$L$71:$L$790,'Financial Analysis'!$B$71:$B$790,$A159,'Financial Analysis'!$C$71:$C$790,"&gt;="&amp;'Assumptions &amp; Data'!$C$62)/SUMIFS('Financial Analysis'!$E$71:$E$790,'Financial Analysis'!$B$71:$B$790,$A159,'Financial Analysis'!$C$71:$C$790,"&gt;="&amp;'Assumptions &amp; Data'!$C$62)</f>
        <v>19.9060430106281</v>
      </c>
      <c r="BR159" s="40" t="n">
        <f aca="false">SUMIFS('Financial Analysis'!$L$71:$L$790,'Financial Analysis'!$B$71:$B$790,$A159,'Financial Analysis'!$C$71:$C$790,"&gt;="&amp;'Assumptions &amp; Data'!$C$62)/SUMIFS('Financial Analysis'!$E$71:$E$790,'Financial Analysis'!$B$71:$B$790,$A159,'Financial Analysis'!$C$71:$C$790,"&gt;="&amp;'Assumptions &amp; Data'!$C$62)</f>
        <v>19.9060430106281</v>
      </c>
      <c r="BS159" s="40" t="n">
        <f aca="false">SUMIFS('Financial Analysis'!$N$71:$N$790,'Financial Analysis'!$B$71:$B$790,$A159,'Financial Analysis'!$C$71:$C$790,"&gt;="&amp;'Assumptions &amp; Data'!$C$62)/SUMIFS('Financial Analysis'!$E$71:$E$790,'Financial Analysis'!$B$71:$B$790,$A159,'Financial Analysis'!$C$71:$C$790,"&gt;="&amp;'Assumptions &amp; Data'!$C$62)</f>
        <v>42.0268354843388</v>
      </c>
      <c r="BT159" s="40" t="n">
        <f aca="false">(SUMIFS('Financial Analysis'!$O$71:$O$790,'Financial Analysis'!$B$71:$B$790,$A159,'Financial Analysis'!$C$71:$C$790,"&gt;="&amp;'Assumptions &amp; Data'!$C$62)+SUMIFS('Financial Analysis'!$P$71:$P$790,'Financial Analysis'!$B$71:$B$790,$A159,'Financial Analysis'!$C$71:$C$790,"&gt;="&amp;'Assumptions &amp; Data'!$C$62))/SUMIFS('Financial Analysis'!$E$71:$E$790,'Financial Analysis'!$B$71:$B$790,$A159,'Financial Analysis'!$C$71:$C$790,"&gt;="&amp;'Assumptions &amp; Data'!$C$62)</f>
        <v>15.4540764592957</v>
      </c>
      <c r="BU159" s="40" t="n">
        <f aca="false">SUMIFS('Financial Analysis'!$R$71:$R$790,'Financial Analysis'!$B$71:$B$790,$A159,'Financial Analysis'!$C$71:$C$790,"&gt;="&amp;'Assumptions &amp; Data'!$C$62)/SUMIFS('Financial Analysis'!$E$71:$E$790,'Financial Analysis'!$B$71:$B$790,$A159,'Financial Analysis'!$C$71:$C$790,"&gt;="&amp;'Assumptions &amp; Data'!$C$62)</f>
        <v>34.2412993039443</v>
      </c>
      <c r="BV159" s="40" t="n">
        <f aca="false">SUMIFS('Financial Analysis'!$S$71:$S$790,'Financial Analysis'!$B$71:$B$790,$A159,'Financial Analysis'!$C$71:$C$790,"&gt;="&amp;'Assumptions &amp; Data'!$C$62)/SUMIFS('Financial Analysis'!$E$71:$E$790,'Financial Analysis'!$B$71:$B$790,$A159,'Financial Analysis'!$C$71:$C$790,"&gt;="&amp;'Assumptions &amp; Data'!$C$62)</f>
        <v>43.9385150812065</v>
      </c>
      <c r="BW159" s="40" t="n">
        <f aca="false">(SUMIFS('Financial Analysis'!$T$71:$T$790,'Financial Analysis'!$B$71:$B$790,$A159,'Financial Analysis'!$C$71:$C$790,"&gt;="&amp;'Assumptions &amp; Data'!$C$62)+SUMIFS('Financial Analysis'!$U$71:$U$790,'Financial Analysis'!$B$71:$B$790,$A159,'Financial Analysis'!$C$71:$C$790,"&gt;="&amp;'Assumptions &amp; Data'!$C$62))/SUMIFS('Financial Analysis'!$E$71:$E$790,'Financial Analysis'!$B$71:$B$790,$A159,'Financial Analysis'!$C$71:$C$790,"&gt;="&amp;'Assumptions &amp; Data'!$C$62)</f>
        <v>27.0085556844548</v>
      </c>
      <c r="BX159" s="40" t="n">
        <f aca="false">SUMIFS('Financial Analysis'!$V$71:$V$790,'Financial Analysis'!$B$71:$B$790,$A159,'Financial Analysis'!$C$71:$C$790,"&gt;="&amp;'Assumptions &amp; Data'!$C$62)/SUMIFS('Financial Analysis'!$E$71:$E$790,'Financial Analysis'!$B$71:$B$790,$A159,'Financial Analysis'!$C$71:$C$790,"&gt;="&amp;'Assumptions &amp; Data'!$C$62)</f>
        <v>-59.4983923163995</v>
      </c>
      <c r="BY159" s="37" t="n">
        <f aca="false">'Assumptions &amp; Data'!J195</f>
        <v>36</v>
      </c>
      <c r="BZ159" s="39" t="str">
        <f aca="false">IF(BK159="Close",COUNTIF($BK$106:BK159,"Close"),"")</f>
        <v/>
      </c>
    </row>
    <row r="160" customFormat="false" ht="15" hidden="false" customHeight="false" outlineLevel="0" collapsed="false">
      <c r="A160" s="48" t="str">
        <f aca="false">'Assumptions &amp; Data'!A196</f>
        <v>DS055</v>
      </c>
      <c r="B160" s="48" t="str">
        <f aca="false">'Assumptions &amp; Data'!B196</f>
        <v>Jaipur</v>
      </c>
      <c r="C160" s="48" t="str">
        <f aca="false">'Assumptions &amp; Data'!C196</f>
        <v>Dense residential</v>
      </c>
      <c r="D160" s="37" t="n">
        <f aca="false">'Assumptions &amp; Data'!D196</f>
        <v>27</v>
      </c>
      <c r="E160" s="39" t="n">
        <f aca="false">SUMIFS('Financial Analysis'!$E$71:$E$790,'Financial Analysis'!$B$71:$B$790,$A160,'Financial Analysis'!$C$71:$C$790,"&gt;="&amp;'Assumptions &amp; Data'!$C$62)/'Assumptions &amp; Data'!$C$63</f>
        <v>1182.86956521739</v>
      </c>
      <c r="F160" s="40" t="n">
        <f aca="false">SUMIFS('Financial Analysis'!$H$71:$H$790,'Financial Analysis'!$B$71:$B$790,$A160,'Financial Analysis'!$C$71:$C$790,"&gt;="&amp;'Assumptions &amp; Data'!$C$62)/'Assumptions &amp; Data'!$C$85/100000</f>
        <v>194.7207951248</v>
      </c>
      <c r="G160" s="40" t="n">
        <f aca="false">SUMIFS('Financial Analysis'!$F$71:$F$790,'Financial Analysis'!$B$71:$B$790,$A160,'Financial Analysis'!$C$71:$C$790,"&gt;="&amp;'Assumptions &amp; Data'!$C$62)/SUMIFS('Financial Analysis'!$E$71:$E$790,'Financial Analysis'!$B$71:$B$790,$A160,'Financial Analysis'!$C$71:$C$790,"&gt;="&amp;'Assumptions &amp; Data'!$C$62)</f>
        <v>573.318826729398</v>
      </c>
      <c r="H160" s="49" t="n">
        <f aca="false">SUMIFS('Financial Analysis'!$G$71:$G$790,'Financial Analysis'!$B$71:$B$790,$A160,'Financial Analysis'!$C$71:$C$790,"&gt;="&amp;'Assumptions &amp; Data'!$C$62)/SUMIFS('Financial Analysis'!$F$71:$F$790,'Financial Analysis'!$B$71:$B$790,$A160,'Financial Analysis'!$C$71:$C$790,"&gt;="&amp;'Assumptions &amp; Data'!$C$62)</f>
        <v>0.0637050078652561</v>
      </c>
      <c r="I160" s="49" t="n">
        <f aca="false">SUMIFS('Financial Analysis'!$L$71:$L$790,'Financial Analysis'!$B$71:$B$790,$A160,'Financial Analysis'!$C$71:$C$790,"&gt;="&amp;'Assumptions &amp; Data'!$C$62)/SUMIFS('Financial Analysis'!$H$71:$H$790,'Financial Analysis'!$B$71:$B$790,$A160,'Financial Analysis'!$C$71:$C$790,"&gt;="&amp;'Assumptions &amp; Data'!$C$62)</f>
        <v>0.0211308281248568</v>
      </c>
      <c r="J160" s="40" t="n">
        <f aca="false">SUMIFS('Financial Analysis'!$N$71:$N$790,'Financial Analysis'!$B$71:$B$790,$A160,'Financial Analysis'!$C$71:$C$790,"&gt;="&amp;'Assumptions &amp; Data'!$C$62)/SUMIFS('Financial Analysis'!$E$71:$E$790,'Financial Analysis'!$B$71:$B$790,$A160,'Financial Analysis'!$C$71:$C$790,"&gt;="&amp;'Assumptions &amp; Data'!$C$62)</f>
        <v>29.5117512681026</v>
      </c>
      <c r="K160" s="40" t="n">
        <f aca="false">SUMIFS('Financial Analysis'!$R$71:$R$790,'Financial Analysis'!$B$71:$B$790,$A160,'Financial Analysis'!$C$71:$C$790,"&gt;="&amp;'Assumptions &amp; Data'!$C$62)/AVERAGEIFS('Assumptions &amp; Data'!$M$205:$M$924,'Assumptions &amp; Data'!$B$205:$B$924,$A160,'Assumptions &amp; Data'!$C$205:$C$924,"&gt;="&amp;'Assumptions &amp; Data'!$C$62)/'Assumptions &amp; Data'!$C$85</f>
        <v>25.6663638615906</v>
      </c>
      <c r="L160" s="40" t="n">
        <f aca="false">E160/K160</f>
        <v>46.0863709248486</v>
      </c>
      <c r="M160" s="40" t="n">
        <f aca="false">SUMIFS('Financial Analysis'!$Q$71:$Q$790,'Financial Analysis'!$B$71:$B$790,$A160,'Financial Analysis'!$C$71:$C$790,"&gt;="&amp;'Assumptions &amp; Data'!$C$62)/SUMIFS('Financial Analysis'!$E$71:$E$790,'Financial Analysis'!$B$71:$B$790,$A160,'Financial Analysis'!$C$71:$C$790,"&gt;="&amp;'Assumptions &amp; Data'!$C$62)</f>
        <v>63.5790003729455</v>
      </c>
      <c r="N160" s="40" t="n">
        <f aca="false">SUMIFS('Financial Analysis'!$Y$71:$Y$790,'Financial Analysis'!$B$71:$B$790,$A160,'Financial Analysis'!$C$71:$C$790,"&gt;="&amp;'Assumptions &amp; Data'!$C$62)/'Assumptions &amp; Data'!$C$85/100000</f>
        <v>10.14797</v>
      </c>
      <c r="O160" s="40" t="n">
        <f aca="false">SUMIFS('Financial Analysis'!$V$71:$V$790,'Financial Analysis'!$B$71:$B$790,$A160,'Financial Analysis'!$C$71:$C$790,"&gt;="&amp;'Assumptions &amp; Data'!$C$62)/'Assumptions &amp; Data'!$C$85/100000</f>
        <v>12.9151004552847</v>
      </c>
      <c r="P160" s="49" t="n">
        <f aca="false">O160/F160</f>
        <v>0.0663262516312509</v>
      </c>
      <c r="Q160" s="39" t="n">
        <f aca="false">IF(M160&gt;0,N160*100000/(M160*'Assumptions &amp; Data'!$C$63/'Assumptions &amp; Data'!$C$85),9999)</f>
        <v>520.473840853595</v>
      </c>
      <c r="R160" s="49" t="n">
        <f aca="false">E160/Q160-1</f>
        <v>1.272678225821</v>
      </c>
      <c r="S160" s="50" t="n">
        <f aca="false">'Assumptions &amp; Data'!E196</f>
        <v>35.4</v>
      </c>
      <c r="T160" s="50" t="n">
        <f aca="false">'Assumptions &amp; Data'!G196</f>
        <v>2.4</v>
      </c>
      <c r="U160" s="49" t="n">
        <f aca="false">MAX(0,('Assumptions &amp; Data'!$C$72-T160)/'Assumptions &amp; Data'!$C$72)*'Assumptions &amp; Data'!$C$73</f>
        <v>0</v>
      </c>
      <c r="V160" s="39" t="n">
        <f aca="false">S160*$B$6*(1-U160)</f>
        <v>1261.00201031804</v>
      </c>
      <c r="W160" s="49" t="n">
        <f aca="false">V160/E160-1</f>
        <v>0.0660533057897133</v>
      </c>
      <c r="X160" s="39" t="n">
        <f aca="false">IF(D160&gt;='Assumptions &amp; Data'!$C$64,1,0)</f>
        <v>1</v>
      </c>
      <c r="Y160" s="40" t="n">
        <f aca="false">IF(AND(X160=1,T160&gt;='Assumptions &amp; Data'!$C$72),E160/S160,"")</f>
        <v>33.4143944976664</v>
      </c>
      <c r="Z160" s="49" t="n">
        <f aca="false">IF(X160=1,H160,"")</f>
        <v>0.0637050078652561</v>
      </c>
      <c r="AA160" s="49" t="n">
        <f aca="false">IF(X160=1,I160,"")</f>
        <v>0.0211308281248568</v>
      </c>
      <c r="AB160" s="40" t="n">
        <f aca="false">IF(X160=1,J160,"")</f>
        <v>29.5117512681026</v>
      </c>
      <c r="AC160" s="40" t="n">
        <f aca="false">IF(X160=1,L160,"")</f>
        <v>46.0863709248486</v>
      </c>
      <c r="AD160" s="40" t="n">
        <f aca="false">IF(X160=1,AP160/E160*100,"")</f>
        <v>338.160699845622</v>
      </c>
      <c r="AE160" s="40" t="n">
        <f aca="false">IF(X160=1,M160,"")</f>
        <v>63.5790003729455</v>
      </c>
      <c r="AF160" s="40" t="n">
        <f aca="false">E160*'Assumptions &amp; Data'!$C$63/'Assumptions &amp; Data'!$C$85*G160/100000</f>
        <v>207.969493333333</v>
      </c>
      <c r="AG160" s="49" t="n">
        <f aca="false">MAX(0,H160-$B$7)</f>
        <v>0.00889990786199935</v>
      </c>
      <c r="AH160" s="40" t="n">
        <f aca="false">AG160*AF160</f>
        <v>1.85090932877335</v>
      </c>
      <c r="AI160" s="40" t="n">
        <f aca="false">AG160*100*E160*'Assumptions &amp; Data'!$C$63/'Assumptions &amp; Data'!$C$85*M160/100000</f>
        <v>20.5259202066834</v>
      </c>
      <c r="AJ160" s="49" t="n">
        <f aca="false">MAX(0,I160-$B$8)</f>
        <v>0</v>
      </c>
      <c r="AK160" s="40" t="n">
        <f aca="false">AJ160*F160</f>
        <v>0</v>
      </c>
      <c r="AL160" s="40" t="n">
        <f aca="false">MAX(0,K160-E160/$B$10)</f>
        <v>0</v>
      </c>
      <c r="AM160" s="40" t="n">
        <f aca="false">AL160*BN160/K160</f>
        <v>0</v>
      </c>
      <c r="AN160" s="40" t="n">
        <f aca="false">MAX(0,J160-$B$9)</f>
        <v>0</v>
      </c>
      <c r="AO160" s="40" t="n">
        <f aca="false">AN160*E160*'Assumptions &amp; Data'!$C$63/'Assumptions &amp; Data'!$C$85/100000</f>
        <v>0</v>
      </c>
      <c r="AP160" s="37" t="n">
        <f aca="false">'Assumptions &amp; Data'!H196</f>
        <v>4000</v>
      </c>
      <c r="AQ160" s="39" t="n">
        <f aca="false">MIN(AP160,$B$11*E160/100)</f>
        <v>4000</v>
      </c>
      <c r="AR160" s="39" t="n">
        <f aca="false">IF(AP160-AQ160&gt;'Assumptions &amp; Data'!$C$78*AP160,AP160-AQ160,0)</f>
        <v>0</v>
      </c>
      <c r="AS160" s="50" t="n">
        <f aca="false">'Assumptions &amp; Data'!I196</f>
        <v>66</v>
      </c>
      <c r="AT160" s="40" t="n">
        <f aca="false">INDEX('Assumptions &amp; Data'!$B$89:$E$94,MATCH(B160,'Assumptions &amp; Data'!$A$89:$A$94,0),MATCH(C160,'Assumptions &amp; Data'!$B$88:$E$88,0))</f>
        <v>65</v>
      </c>
      <c r="AU160" s="39" t="n">
        <f aca="false">IF(BY160&lt;='Assumptions &amp; Data'!$C$79,1,0)</f>
        <v>1</v>
      </c>
      <c r="AV160" s="40" t="n">
        <f aca="false">AU160*(AR160*AS160+MAX(0,AS160-AT160)*(AP160-AR160))/100000</f>
        <v>0.04</v>
      </c>
      <c r="AW160" s="40" t="n">
        <f aca="false">'Assumptions &amp; Data'!$C$67*(AH160-'Assumptions &amp; Data'!$C$68*AI160+AK160+AM160+AO160+AV160)</f>
        <v>1.01139007602391</v>
      </c>
      <c r="AX160" s="40" t="n">
        <f aca="false">O160+AW160</f>
        <v>13.9264905313087</v>
      </c>
      <c r="AY160" s="49" t="n">
        <f aca="false">IF(D160&lt;'Assumptions &amp; Data'!$C$64,'Assumptions &amp; Data'!$C$70,'Assumptions &amp; Data'!$C$69)</f>
        <v>0.5</v>
      </c>
      <c r="AZ160" s="40" t="n">
        <f aca="false">AY160*MAX(0,V160-E160)*'Assumptions &amp; Data'!$C$63/'Assumptions &amp; Data'!$C$85*(M160-'Assumptions &amp; Data'!$C$71)/100000</f>
        <v>0.641892940128649</v>
      </c>
      <c r="BA160" s="40" t="n">
        <f aca="false">AX160+AZ160</f>
        <v>14.5683834714373</v>
      </c>
      <c r="BB160" s="40" t="n">
        <f aca="false">BA160+(1-'Assumptions &amp; Data'!$C$67)*AV160</f>
        <v>14.5843834714373</v>
      </c>
      <c r="BC160" s="48" t="str">
        <f aca="false">'Assumptions &amp; Data'!F196</f>
        <v>DS059</v>
      </c>
      <c r="BD160" s="39" t="n">
        <f aca="false">INDEX('Assumptions &amp; Data'!$K$142:$K$201,MATCH(BC160,'Assumptions &amp; Data'!$A$142:$A$201,0))*'Assumptions &amp; Data'!$C$77</f>
        <v>1782</v>
      </c>
      <c r="BE160" s="39" t="n">
        <f aca="false">MAX(0,BD160-INDEX($E$106:$E$165,MATCH(BC160,$A$106:$A$165,0)))</f>
        <v>271.684782608696</v>
      </c>
      <c r="BF160" s="39" t="n">
        <f aca="false">IF(T160&lt;='Assumptions &amp; Data'!$C$74,MIN('Assumptions &amp; Data'!$C$76*E160,BE160),0)</f>
        <v>0</v>
      </c>
      <c r="BG160" s="40" t="n">
        <f aca="false">-O160+BF160*'Assumptions &amp; Data'!$C$63/'Assumptions &amp; Data'!$C$85*($B$12-'Assumptions &amp; Data'!$C$71)/100000</f>
        <v>-12.9151004552847</v>
      </c>
      <c r="BH160" s="40" t="n">
        <f aca="false">(AS160*AP160*BY160*'Assumptions &amp; Data'!$C$82+K160*(BN160*100000/K160)*'Assumptions &amp; Data'!$C$80*(1-'Assumptions &amp; Data'!$C$81)+AP160*'Assumptions &amp; Data'!$C$83)/100000</f>
        <v>12.489528</v>
      </c>
      <c r="BI160" s="40" t="n">
        <f aca="false">'Assumptions &amp; Data'!L196*MAX(0,1-D160/'Assumptions &amp; Data'!$C$84)</f>
        <v>92.2857142857143</v>
      </c>
      <c r="BJ160" s="40" t="n">
        <f aca="false">IF(BG160&gt;0,BH160/BG160,99)</f>
        <v>99</v>
      </c>
      <c r="BK160" s="2" t="str">
        <f aca="false">IF(AND(P160&gt;='Assumptions &amp; Data'!$C$65,R160&gt;=0,W160&gt;='Assumptions &amp; Data'!$C$66),"Scale",IF(OR(O160&gt;=0,AX160&gt;=0),"Optimise",IF(BA160&gt;=0,"Turn around",IF(BB160&gt;=0,"Relocate or resize",IF(AND(BF160&gt;0,BJ160&lt;='Assumptions &amp; Data'!$C$75,D160&gt;='Assumptions &amp; Data'!$C$64),"Close","Relocate or resize")))))</f>
        <v>Optimise</v>
      </c>
      <c r="BL160" s="42" t="str">
        <f aca="false">INDEX($BK$106:$BK$165,MATCH(BC160,$A$106:$A$165,0))</f>
        <v>Scale</v>
      </c>
      <c r="BM160" s="42" t="str">
        <f aca="false">IF(RANK(P160,$P$106:$P$165)&lt;=ROUND(COUNT($P$106:$P$165)/4,0),"Q1 top",IF(RANK(P160,$P$106:$P$165)&gt;COUNT($P$106:$P$165)-ROUND(COUNT($P$106:$P$165)/4,0),"Q4 bottom","Q2-Q3 middle"))</f>
        <v>Q1 top</v>
      </c>
      <c r="BN160" s="40" t="n">
        <f aca="false">SUMIFS('Financial Analysis'!$R$71:$R$790,'Financial Analysis'!$B$71:$B$790,$A160,'Financial Analysis'!$C$71:$C$790,"&gt;="&amp;'Assumptions &amp; Data'!$C$62)/'Assumptions &amp; Data'!$C$85/100000</f>
        <v>4.14392</v>
      </c>
      <c r="BO160" s="40" t="n">
        <f aca="false">SUMIFS('Financial Analysis'!$H$71:$H$790,'Financial Analysis'!$B$71:$B$790,$A160,'Financial Analysis'!$C$71:$C$790,"&gt;="&amp;'Assumptions &amp; Data'!$C$62)/SUMIFS('Financial Analysis'!$E$71:$E$790,'Financial Analysis'!$B$71:$B$790,$A160,'Financial Analysis'!$C$71:$C$790,"&gt;="&amp;'Assumptions &amp; Data'!$C$62)</f>
        <v>536.795546363302</v>
      </c>
      <c r="BP160" s="40" t="n">
        <f aca="false">(SUMIFS('Financial Analysis'!$I$71:$I$790,'Financial Analysis'!$B$71:$B$790,$A160,'Financial Analysis'!$C$71:$C$790,"&gt;="&amp;'Assumptions &amp; Data'!$C$62)+SUMIFS('Financial Analysis'!$J$71:$J$790,'Financial Analysis'!$B$71:$B$790,$A160,'Financial Analysis'!$C$71:$C$790,"&gt;="&amp;'Assumptions &amp; Data'!$C$62)+SUMIFS('Financial Analysis'!$K$71:$K$790,'Financial Analysis'!$B$71:$B$790,$A160,'Financial Analysis'!$C$71:$C$790,"&gt;="&amp;'Assumptions &amp; Data'!$C$62))/SUMIFS('Financial Analysis'!$E$71:$E$790,'Financial Analysis'!$B$71:$B$790,$A160,'Financial Analysis'!$C$71:$C$790,"&gt;="&amp;'Assumptions &amp; Data'!$C$62)</f>
        <v>118.507038361082</v>
      </c>
      <c r="BQ160" s="40" t="n">
        <f aca="false">SUMIFS('Financial Analysis'!$L$71:$L$790,'Financial Analysis'!$B$71:$B$790,$A160,'Financial Analysis'!$C$71:$C$790,"&gt;="&amp;'Assumptions &amp; Data'!$C$62)/SUMIFS('Financial Analysis'!$E$71:$E$790,'Financial Analysis'!$B$71:$B$790,$A160,'Financial Analysis'!$C$71:$C$790,"&gt;="&amp;'Assumptions &amp; Data'!$C$62)</f>
        <v>11.3429344283915</v>
      </c>
      <c r="BR160" s="40" t="n">
        <f aca="false">SUMIFS('Financial Analysis'!$L$71:$L$790,'Financial Analysis'!$B$71:$B$790,$A160,'Financial Analysis'!$C$71:$C$790,"&gt;="&amp;'Assumptions &amp; Data'!$C$62)/SUMIFS('Financial Analysis'!$E$71:$E$790,'Financial Analysis'!$B$71:$B$790,$A160,'Financial Analysis'!$C$71:$C$790,"&gt;="&amp;'Assumptions &amp; Data'!$C$62)</f>
        <v>11.3429344283915</v>
      </c>
      <c r="BS160" s="40" t="n">
        <f aca="false">SUMIFS('Financial Analysis'!$N$71:$N$790,'Financial Analysis'!$B$71:$B$790,$A160,'Financial Analysis'!$C$71:$C$790,"&gt;="&amp;'Assumptions &amp; Data'!$C$62)/SUMIFS('Financial Analysis'!$E$71:$E$790,'Financial Analysis'!$B$71:$B$790,$A160,'Financial Analysis'!$C$71:$C$790,"&gt;="&amp;'Assumptions &amp; Data'!$C$62)</f>
        <v>29.5117512681026</v>
      </c>
      <c r="BT160" s="40" t="n">
        <f aca="false">(SUMIFS('Financial Analysis'!$O$71:$O$790,'Financial Analysis'!$B$71:$B$790,$A160,'Financial Analysis'!$C$71:$C$790,"&gt;="&amp;'Assumptions &amp; Data'!$C$62)+SUMIFS('Financial Analysis'!$P$71:$P$790,'Financial Analysis'!$B$71:$B$790,$A160,'Financial Analysis'!$C$71:$C$790,"&gt;="&amp;'Assumptions &amp; Data'!$C$62))/SUMIFS('Financial Analysis'!$E$71:$E$790,'Financial Analysis'!$B$71:$B$790,$A160,'Financial Analysis'!$C$71:$C$790,"&gt;="&amp;'Assumptions &amp; Data'!$C$62)</f>
        <v>14.0733522916421</v>
      </c>
      <c r="BU160" s="40" t="n">
        <f aca="false">SUMIFS('Financial Analysis'!$R$71:$R$790,'Financial Analysis'!$B$71:$B$790,$A160,'Financial Analysis'!$C$71:$C$790,"&gt;="&amp;'Assumptions &amp; Data'!$C$62)/SUMIFS('Financial Analysis'!$E$71:$E$790,'Financial Analysis'!$B$71:$B$790,$A160,'Financial Analysis'!$C$71:$C$790,"&gt;="&amp;'Assumptions &amp; Data'!$C$62)</f>
        <v>11.4237300595457</v>
      </c>
      <c r="BV160" s="40" t="n">
        <f aca="false">SUMIFS('Financial Analysis'!$S$71:$S$790,'Financial Analysis'!$B$71:$B$790,$A160,'Financial Analysis'!$C$71:$C$790,"&gt;="&amp;'Assumptions &amp; Data'!$C$62)/SUMIFS('Financial Analysis'!$E$71:$E$790,'Financial Analysis'!$B$71:$B$790,$A160,'Financial Analysis'!$C$71:$C$790,"&gt;="&amp;'Assumptions &amp; Data'!$C$62)</f>
        <v>7.27780636624274</v>
      </c>
      <c r="BW160" s="40" t="n">
        <f aca="false">(SUMIFS('Financial Analysis'!$T$71:$T$790,'Financial Analysis'!$B$71:$B$790,$A160,'Financial Analysis'!$C$71:$C$790,"&gt;="&amp;'Assumptions &amp; Data'!$C$62)+SUMIFS('Financial Analysis'!$U$71:$U$790,'Financial Analysis'!$B$71:$B$790,$A160,'Financial Analysis'!$C$71:$C$790,"&gt;="&amp;'Assumptions &amp; Data'!$C$62))/SUMIFS('Financial Analysis'!$E$71:$E$790,'Financial Analysis'!$B$71:$B$790,$A160,'Financial Analysis'!$C$71:$C$790,"&gt;="&amp;'Assumptions &amp; Data'!$C$62)</f>
        <v>9.27382746452988</v>
      </c>
      <c r="BX160" s="40" t="n">
        <f aca="false">SUMIFS('Financial Analysis'!$V$71:$V$790,'Financial Analysis'!$B$71:$B$790,$A160,'Financial Analysis'!$C$71:$C$790,"&gt;="&amp;'Assumptions &amp; Data'!$C$62)/SUMIFS('Financial Analysis'!$E$71:$E$790,'Financial Analysis'!$B$71:$B$790,$A160,'Financial Analysis'!$C$71:$C$790,"&gt;="&amp;'Assumptions &amp; Data'!$C$62)</f>
        <v>35.6036364826272</v>
      </c>
      <c r="BY160" s="37" t="n">
        <f aca="false">'Assumptions &amp; Data'!J196</f>
        <v>3</v>
      </c>
      <c r="BZ160" s="39" t="str">
        <f aca="false">IF(BK160="Close",COUNTIF($BK$106:BK160,"Close"),"")</f>
        <v/>
      </c>
    </row>
    <row r="161" customFormat="false" ht="15" hidden="false" customHeight="false" outlineLevel="0" collapsed="false">
      <c r="A161" s="48" t="str">
        <f aca="false">'Assumptions &amp; Data'!A197</f>
        <v>DS056</v>
      </c>
      <c r="B161" s="48" t="str">
        <f aca="false">'Assumptions &amp; Data'!B197</f>
        <v>Jaipur</v>
      </c>
      <c r="C161" s="48" t="str">
        <f aca="false">'Assumptions &amp; Data'!C197</f>
        <v>Dense residential</v>
      </c>
      <c r="D161" s="37" t="n">
        <f aca="false">'Assumptions &amp; Data'!D197</f>
        <v>28</v>
      </c>
      <c r="E161" s="39" t="n">
        <f aca="false">SUMIFS('Financial Analysis'!$E$71:$E$790,'Financial Analysis'!$B$71:$B$790,$A161,'Financial Analysis'!$C$71:$C$790,"&gt;="&amp;'Assumptions &amp; Data'!$C$62)/'Assumptions &amp; Data'!$C$63</f>
        <v>1204.95652173913</v>
      </c>
      <c r="F161" s="40" t="n">
        <f aca="false">SUMIFS('Financial Analysis'!$H$71:$H$790,'Financial Analysis'!$B$71:$B$790,$A161,'Financial Analysis'!$C$71:$C$790,"&gt;="&amp;'Assumptions &amp; Data'!$C$62)/'Assumptions &amp; Data'!$C$85/100000</f>
        <v>191.813099032367</v>
      </c>
      <c r="G161" s="40" t="n">
        <f aca="false">SUMIFS('Financial Analysis'!$F$71:$F$790,'Financial Analysis'!$B$71:$B$790,$A161,'Financial Analysis'!$C$71:$C$790,"&gt;="&amp;'Assumptions &amp; Data'!$C$62)/SUMIFS('Financial Analysis'!$E$71:$E$790,'Financial Analysis'!$B$71:$B$790,$A161,'Financial Analysis'!$C$71:$C$790,"&gt;="&amp;'Assumptions &amp; Data'!$C$62)</f>
        <v>546.528846431407</v>
      </c>
      <c r="H161" s="49" t="n">
        <f aca="false">SUMIFS('Financial Analysis'!$G$71:$G$790,'Financial Analysis'!$B$71:$B$790,$A161,'Financial Analysis'!$C$71:$C$790,"&gt;="&amp;'Assumptions &amp; Data'!$C$62)/SUMIFS('Financial Analysis'!$F$71:$F$790,'Financial Analysis'!$B$71:$B$790,$A161,'Financial Analysis'!$C$71:$C$790,"&gt;="&amp;'Assumptions &amp; Data'!$C$62)</f>
        <v>0.0502108077758978</v>
      </c>
      <c r="I161" s="49" t="n">
        <f aca="false">SUMIFS('Financial Analysis'!$L$71:$L$790,'Financial Analysis'!$B$71:$B$790,$A161,'Financial Analysis'!$C$71:$C$790,"&gt;="&amp;'Assumptions &amp; Data'!$C$62)/SUMIFS('Financial Analysis'!$H$71:$H$790,'Financial Analysis'!$B$71:$B$790,$A161,'Financial Analysis'!$C$71:$C$790,"&gt;="&amp;'Assumptions &amp; Data'!$C$62)</f>
        <v>0.0377283824447196</v>
      </c>
      <c r="J161" s="40" t="n">
        <f aca="false">SUMIFS('Financial Analysis'!$N$71:$N$790,'Financial Analysis'!$B$71:$B$790,$A161,'Financial Analysis'!$C$71:$C$790,"&gt;="&amp;'Assumptions &amp; Data'!$C$62)/SUMIFS('Financial Analysis'!$E$71:$E$790,'Financial Analysis'!$B$71:$B$790,$A161,'Financial Analysis'!$C$71:$C$790,"&gt;="&amp;'Assumptions &amp; Data'!$C$62)</f>
        <v>33.6237060691347</v>
      </c>
      <c r="K161" s="40" t="n">
        <f aca="false">SUMIFS('Financial Analysis'!$R$71:$R$790,'Financial Analysis'!$B$71:$B$790,$A161,'Financial Analysis'!$C$71:$C$790,"&gt;="&amp;'Assumptions &amp; Data'!$C$62)/AVERAGEIFS('Assumptions &amp; Data'!$M$205:$M$924,'Assumptions &amp; Data'!$B$205:$B$924,$A161,'Assumptions &amp; Data'!$C$205:$C$924,"&gt;="&amp;'Assumptions &amp; Data'!$C$62)/'Assumptions &amp; Data'!$C$85</f>
        <v>32.3348335948468</v>
      </c>
      <c r="L161" s="40" t="n">
        <f aca="false">E161/K161</f>
        <v>37.2649674600819</v>
      </c>
      <c r="M161" s="40" t="n">
        <f aca="false">SUMIFS('Financial Analysis'!$Q$71:$Q$790,'Financial Analysis'!$B$71:$B$790,$A161,'Financial Analysis'!$C$71:$C$790,"&gt;="&amp;'Assumptions &amp; Data'!$C$62)/SUMIFS('Financial Analysis'!$E$71:$E$790,'Financial Analysis'!$B$71:$B$790,$A161,'Financial Analysis'!$C$71:$C$790,"&gt;="&amp;'Assumptions &amp; Data'!$C$62)</f>
        <v>48.9758622130489</v>
      </c>
      <c r="N161" s="40" t="n">
        <f aca="false">SUMIFS('Financial Analysis'!$Y$71:$Y$790,'Financial Analysis'!$B$71:$B$790,$A161,'Financial Analysis'!$C$71:$C$790,"&gt;="&amp;'Assumptions &amp; Data'!$C$62)/'Assumptions &amp; Data'!$C$85/100000</f>
        <v>10.6037833333333</v>
      </c>
      <c r="O161" s="40" t="n">
        <f aca="false">SUMIFS('Financial Analysis'!$V$71:$V$790,'Financial Analysis'!$B$71:$B$790,$A161,'Financial Analysis'!$C$71:$C$790,"&gt;="&amp;'Assumptions &amp; Data'!$C$62)/'Assumptions &amp; Data'!$C$85/100000</f>
        <v>7.49377727163249</v>
      </c>
      <c r="P161" s="49" t="n">
        <f aca="false">O161/F161</f>
        <v>0.0390681205268885</v>
      </c>
      <c r="Q161" s="39" t="n">
        <f aca="false">IF(M161&gt;0,N161*100000/(M161*'Assumptions &amp; Data'!$C$63/'Assumptions &amp; Data'!$C$85),9999)</f>
        <v>706.012161611591</v>
      </c>
      <c r="R161" s="49" t="n">
        <f aca="false">E161/Q161-1</f>
        <v>0.706707883032235</v>
      </c>
      <c r="S161" s="50" t="n">
        <f aca="false">'Assumptions &amp; Data'!E197</f>
        <v>36.5</v>
      </c>
      <c r="T161" s="50" t="n">
        <f aca="false">'Assumptions &amp; Data'!G197</f>
        <v>2</v>
      </c>
      <c r="U161" s="49" t="n">
        <f aca="false">MAX(0,('Assumptions &amp; Data'!$C$72-T161)/'Assumptions &amp; Data'!$C$72)*'Assumptions &amp; Data'!$C$73</f>
        <v>0</v>
      </c>
      <c r="V161" s="39" t="n">
        <f aca="false">S161*$B$6*(1-U161)</f>
        <v>1300.18568860476</v>
      </c>
      <c r="W161" s="49" t="n">
        <f aca="false">V161/E161-1</f>
        <v>0.0790312058132883</v>
      </c>
      <c r="X161" s="39" t="n">
        <f aca="false">IF(D161&gt;='Assumptions &amp; Data'!$C$64,1,0)</f>
        <v>1</v>
      </c>
      <c r="Y161" s="40" t="n">
        <f aca="false">IF(AND(X161=1,T161&gt;='Assumptions &amp; Data'!$C$72),E161/S161,"")</f>
        <v>33.0125074449077</v>
      </c>
      <c r="Z161" s="49" t="n">
        <f aca="false">IF(X161=1,H161,"")</f>
        <v>0.0502108077758978</v>
      </c>
      <c r="AA161" s="49" t="n">
        <f aca="false">IF(X161=1,I161,"")</f>
        <v>0.0377283824447196</v>
      </c>
      <c r="AB161" s="40" t="n">
        <f aca="false">IF(X161=1,J161,"")</f>
        <v>33.6237060691347</v>
      </c>
      <c r="AC161" s="40" t="n">
        <f aca="false">IF(X161=1,L161,"")</f>
        <v>37.2649674600819</v>
      </c>
      <c r="AD161" s="40" t="n">
        <f aca="false">IF(X161=1,AP161/E161*100,"")</f>
        <v>373.457458324313</v>
      </c>
      <c r="AE161" s="40" t="n">
        <f aca="false">IF(X161=1,M161,"")</f>
        <v>48.9758622130489</v>
      </c>
      <c r="AF161" s="40" t="n">
        <f aca="false">E161*'Assumptions &amp; Data'!$C$63/'Assumptions &amp; Data'!$C$85*G161/100000</f>
        <v>201.953339333333</v>
      </c>
      <c r="AG161" s="49" t="n">
        <f aca="false">MAX(0,H161-$B$7)</f>
        <v>0</v>
      </c>
      <c r="AH161" s="40" t="n">
        <f aca="false">AG161*AF161</f>
        <v>0</v>
      </c>
      <c r="AI161" s="40" t="n">
        <f aca="false">AG161*100*E161*'Assumptions &amp; Data'!$C$63/'Assumptions &amp; Data'!$C$85*M161/100000</f>
        <v>0</v>
      </c>
      <c r="AJ161" s="49" t="n">
        <f aca="false">MAX(0,I161-$B$8)</f>
        <v>0.0163237887344325</v>
      </c>
      <c r="AK161" s="40" t="n">
        <f aca="false">AJ161*F161</f>
        <v>3.13111650510113</v>
      </c>
      <c r="AL161" s="40" t="n">
        <f aca="false">MAX(0,K161-E161/$B$10)</f>
        <v>0.765068552111256</v>
      </c>
      <c r="AM161" s="40" t="n">
        <f aca="false">AL161*BN161/K161</f>
        <v>0.123522867966869</v>
      </c>
      <c r="AN161" s="40" t="n">
        <f aca="false">MAX(0,J161-$B$9)</f>
        <v>0</v>
      </c>
      <c r="AO161" s="40" t="n">
        <f aca="false">AN161*E161*'Assumptions &amp; Data'!$C$63/'Assumptions &amp; Data'!$C$85/100000</f>
        <v>0</v>
      </c>
      <c r="AP161" s="37" t="n">
        <f aca="false">'Assumptions &amp; Data'!H197</f>
        <v>4500</v>
      </c>
      <c r="AQ161" s="39" t="n">
        <f aca="false">MIN(AP161,$B$11*E161/100)</f>
        <v>4500</v>
      </c>
      <c r="AR161" s="39" t="n">
        <f aca="false">IF(AP161-AQ161&gt;'Assumptions &amp; Data'!$C$78*AP161,AP161-AQ161,0)</f>
        <v>0</v>
      </c>
      <c r="AS161" s="50" t="n">
        <f aca="false">'Assumptions &amp; Data'!I197</f>
        <v>46</v>
      </c>
      <c r="AT161" s="40" t="n">
        <f aca="false">INDEX('Assumptions &amp; Data'!$B$89:$E$94,MATCH(B161,'Assumptions &amp; Data'!$A$89:$A$94,0),MATCH(C161,'Assumptions &amp; Data'!$B$88:$E$88,0))</f>
        <v>65</v>
      </c>
      <c r="AU161" s="39" t="n">
        <f aca="false">IF(BY161&lt;='Assumptions &amp; Data'!$C$79,1,0)</f>
        <v>0</v>
      </c>
      <c r="AV161" s="40" t="n">
        <f aca="false">AU161*(AR161*AS161+MAX(0,AS161-AT161)*(AP161-AR161))/100000</f>
        <v>0</v>
      </c>
      <c r="AW161" s="40" t="n">
        <f aca="false">'Assumptions &amp; Data'!$C$67*(AH161-'Assumptions &amp; Data'!$C$68*AI161+AK161+AM161+AO161+AV161)</f>
        <v>1.9527836238408</v>
      </c>
      <c r="AX161" s="40" t="n">
        <f aca="false">O161+AW161</f>
        <v>9.44656089547329</v>
      </c>
      <c r="AY161" s="49" t="n">
        <f aca="false">IF(D161&lt;'Assumptions &amp; Data'!$C$64,'Assumptions &amp; Data'!$C$70,'Assumptions &amp; Data'!$C$69)</f>
        <v>0.5</v>
      </c>
      <c r="AZ161" s="40" t="n">
        <f aca="false">AY161*MAX(0,V161-E161)*'Assumptions &amp; Data'!$C$63/'Assumptions &amp; Data'!$C$85*(M161-'Assumptions &amp; Data'!$C$71)/100000</f>
        <v>0.569117962584125</v>
      </c>
      <c r="BA161" s="40" t="n">
        <f aca="false">AX161+AZ161</f>
        <v>10.0156788580574</v>
      </c>
      <c r="BB161" s="40" t="n">
        <f aca="false">BA161+(1-'Assumptions &amp; Data'!$C$67)*AV161</f>
        <v>10.0156788580574</v>
      </c>
      <c r="BC161" s="48" t="str">
        <f aca="false">'Assumptions &amp; Data'!F197</f>
        <v>DS058</v>
      </c>
      <c r="BD161" s="39" t="n">
        <f aca="false">INDEX('Assumptions &amp; Data'!$K$142:$K$201,MATCH(BC161,'Assumptions &amp; Data'!$A$142:$A$201,0))*'Assumptions &amp; Data'!$C$77</f>
        <v>1620</v>
      </c>
      <c r="BE161" s="39" t="n">
        <f aca="false">MAX(0,BD161-INDEX($E$106:$E$165,MATCH(BC161,$A$106:$A$165,0)))</f>
        <v>1315.45652173913</v>
      </c>
      <c r="BF161" s="39" t="n">
        <f aca="false">IF(T161&lt;='Assumptions &amp; Data'!$C$74,MIN('Assumptions &amp; Data'!$C$76*E161,BE161),0)</f>
        <v>722.973913043478</v>
      </c>
      <c r="BG161" s="40" t="n">
        <f aca="false">-O161+BF161*'Assumptions &amp; Data'!$C$63/'Assumptions &amp; Data'!$C$85*($B$12-'Assumptions &amp; Data'!$C$71)/100000</f>
        <v>4.6420798128245</v>
      </c>
      <c r="BH161" s="40" t="n">
        <f aca="false">(AS161*AP161*BY161*'Assumptions &amp; Data'!$C$82+K161*(BN161*100000/K161)*'Assumptions &amp; Data'!$C$80*(1-'Assumptions &amp; Data'!$C$81)+AP161*'Assumptions &amp; Data'!$C$83)/100000</f>
        <v>47.35851</v>
      </c>
      <c r="BI161" s="40" t="n">
        <f aca="false">'Assumptions &amp; Data'!L197*MAX(0,1-D161/'Assumptions &amp; Data'!$C$84)</f>
        <v>102</v>
      </c>
      <c r="BJ161" s="40" t="n">
        <f aca="false">IF(BG161&gt;0,BH161/BG161,99)</f>
        <v>10.2020025310992</v>
      </c>
      <c r="BK161" s="2" t="str">
        <f aca="false">IF(AND(P161&gt;='Assumptions &amp; Data'!$C$65,R161&gt;=0,W161&gt;='Assumptions &amp; Data'!$C$66),"Scale",IF(OR(O161&gt;=0,AX161&gt;=0),"Optimise",IF(BA161&gt;=0,"Turn around",IF(BB161&gt;=0,"Relocate or resize",IF(AND(BF161&gt;0,BJ161&lt;='Assumptions &amp; Data'!$C$75,D161&gt;='Assumptions &amp; Data'!$C$64),"Close","Relocate or resize")))))</f>
        <v>Optimise</v>
      </c>
      <c r="BL161" s="42" t="str">
        <f aca="false">INDEX($BK$106:$BK$165,MATCH(BC161,$A$106:$A$165,0))</f>
        <v>Turn around</v>
      </c>
      <c r="BM161" s="42" t="str">
        <f aca="false">IF(RANK(P161,$P$106:$P$165)&lt;=ROUND(COUNT($P$106:$P$165)/4,0),"Q1 top",IF(RANK(P161,$P$106:$P$165)&gt;COUNT($P$106:$P$165)-ROUND(COUNT($P$106:$P$165)/4,0),"Q4 bottom","Q2-Q3 middle"))</f>
        <v>Q2-Q3 middle</v>
      </c>
      <c r="BN161" s="40" t="n">
        <f aca="false">SUMIFS('Financial Analysis'!$R$71:$R$790,'Financial Analysis'!$B$71:$B$790,$A161,'Financial Analysis'!$C$71:$C$790,"&gt;="&amp;'Assumptions &amp; Data'!$C$62)/'Assumptions &amp; Data'!$C$85/100000</f>
        <v>5.22056666666667</v>
      </c>
      <c r="BO161" s="40" t="n">
        <f aca="false">SUMIFS('Financial Analysis'!$H$71:$H$790,'Financial Analysis'!$B$71:$B$790,$A161,'Financial Analysis'!$C$71:$C$790,"&gt;="&amp;'Assumptions &amp; Data'!$C$62)/SUMIFS('Financial Analysis'!$E$71:$E$790,'Financial Analysis'!$B$71:$B$790,$A161,'Financial Analysis'!$C$71:$C$790,"&gt;="&amp;'Assumptions &amp; Data'!$C$62)</f>
        <v>519.087191579256</v>
      </c>
      <c r="BP161" s="40" t="n">
        <f aca="false">(SUMIFS('Financial Analysis'!$I$71:$I$790,'Financial Analysis'!$B$71:$B$790,$A161,'Financial Analysis'!$C$71:$C$790,"&gt;="&amp;'Assumptions &amp; Data'!$C$62)+SUMIFS('Financial Analysis'!$J$71:$J$790,'Financial Analysis'!$B$71:$B$790,$A161,'Financial Analysis'!$C$71:$C$790,"&gt;="&amp;'Assumptions &amp; Data'!$C$62)+SUMIFS('Financial Analysis'!$K$71:$K$790,'Financial Analysis'!$B$71:$B$790,$A161,'Financial Analysis'!$C$71:$C$790,"&gt;="&amp;'Assumptions &amp; Data'!$C$62))/SUMIFS('Financial Analysis'!$E$71:$E$790,'Financial Analysis'!$B$71:$B$790,$A161,'Financial Analysis'!$C$71:$C$790,"&gt;="&amp;'Assumptions &amp; Data'!$C$62)</f>
        <v>116.044365768562</v>
      </c>
      <c r="BQ161" s="40" t="n">
        <f aca="false">SUMIFS('Financial Analysis'!$L$71:$L$790,'Financial Analysis'!$B$71:$B$790,$A161,'Financial Analysis'!$C$71:$C$790,"&gt;="&amp;'Assumptions &amp; Data'!$C$62)/SUMIFS('Financial Analysis'!$E$71:$E$790,'Financial Analysis'!$B$71:$B$790,$A161,'Financial Analysis'!$C$71:$C$790,"&gt;="&amp;'Assumptions &amp; Data'!$C$62)</f>
        <v>19.5843200860576</v>
      </c>
      <c r="BR161" s="40" t="n">
        <f aca="false">SUMIFS('Financial Analysis'!$L$71:$L$790,'Financial Analysis'!$B$71:$B$790,$A161,'Financial Analysis'!$C$71:$C$790,"&gt;="&amp;'Assumptions &amp; Data'!$C$62)/SUMIFS('Financial Analysis'!$E$71:$E$790,'Financial Analysis'!$B$71:$B$790,$A161,'Financial Analysis'!$C$71:$C$790,"&gt;="&amp;'Assumptions &amp; Data'!$C$62)</f>
        <v>19.5843200860576</v>
      </c>
      <c r="BS161" s="40" t="n">
        <f aca="false">SUMIFS('Financial Analysis'!$N$71:$N$790,'Financial Analysis'!$B$71:$B$790,$A161,'Financial Analysis'!$C$71:$C$790,"&gt;="&amp;'Assumptions &amp; Data'!$C$62)/SUMIFS('Financial Analysis'!$E$71:$E$790,'Financial Analysis'!$B$71:$B$790,$A161,'Financial Analysis'!$C$71:$C$790,"&gt;="&amp;'Assumptions &amp; Data'!$C$62)</f>
        <v>33.6237060691347</v>
      </c>
      <c r="BT161" s="40" t="n">
        <f aca="false">(SUMIFS('Financial Analysis'!$O$71:$O$790,'Financial Analysis'!$B$71:$B$790,$A161,'Financial Analysis'!$C$71:$C$790,"&gt;="&amp;'Assumptions &amp; Data'!$C$62)+SUMIFS('Financial Analysis'!$P$71:$P$790,'Financial Analysis'!$B$71:$B$790,$A161,'Financial Analysis'!$C$71:$C$790,"&gt;="&amp;'Assumptions &amp; Data'!$C$62))/SUMIFS('Financial Analysis'!$E$71:$E$790,'Financial Analysis'!$B$71:$B$790,$A161,'Financial Analysis'!$C$71:$C$790,"&gt;="&amp;'Assumptions &amp; Data'!$C$62)</f>
        <v>13.8604774003208</v>
      </c>
      <c r="BU161" s="40" t="n">
        <f aca="false">SUMIFS('Financial Analysis'!$R$71:$R$790,'Financial Analysis'!$B$71:$B$790,$A161,'Financial Analysis'!$C$71:$C$790,"&gt;="&amp;'Assumptions &amp; Data'!$C$62)/SUMIFS('Financial Analysis'!$E$71:$E$790,'Financial Analysis'!$B$71:$B$790,$A161,'Financial Analysis'!$C$71:$C$790,"&gt;="&amp;'Assumptions &amp; Data'!$C$62)</f>
        <v>14.1279678141012</v>
      </c>
      <c r="BV161" s="40" t="n">
        <f aca="false">SUMIFS('Financial Analysis'!$S$71:$S$790,'Financial Analysis'!$B$71:$B$790,$A161,'Financial Analysis'!$C$71:$C$790,"&gt;="&amp;'Assumptions &amp; Data'!$C$62)/SUMIFS('Financial Analysis'!$E$71:$E$790,'Financial Analysis'!$B$71:$B$790,$A161,'Financial Analysis'!$C$71:$C$790,"&gt;="&amp;'Assumptions &amp; Data'!$C$62)</f>
        <v>5.60186187486469</v>
      </c>
      <c r="BW161" s="40" t="n">
        <f aca="false">(SUMIFS('Financial Analysis'!$T$71:$T$790,'Financial Analysis'!$B$71:$B$790,$A161,'Financial Analysis'!$C$71:$C$790,"&gt;="&amp;'Assumptions &amp; Data'!$C$62)+SUMIFS('Financial Analysis'!$U$71:$U$790,'Financial Analysis'!$B$71:$B$790,$A161,'Financial Analysis'!$C$71:$C$790,"&gt;="&amp;'Assumptions &amp; Data'!$C$62))/SUMIFS('Financial Analysis'!$E$71:$E$790,'Financial Analysis'!$B$71:$B$790,$A161,'Financial Analysis'!$C$71:$C$790,"&gt;="&amp;'Assumptions &amp; Data'!$C$62)</f>
        <v>8.96627155950061</v>
      </c>
      <c r="BX161" s="40" t="n">
        <f aca="false">SUMIFS('Financial Analysis'!$V$71:$V$790,'Financial Analysis'!$B$71:$B$790,$A161,'Financial Analysis'!$C$71:$C$790,"&gt;="&amp;'Assumptions &amp; Data'!$C$62)/SUMIFS('Financial Analysis'!$E$71:$E$790,'Financial Analysis'!$B$71:$B$790,$A161,'Financial Analysis'!$C$71:$C$790,"&gt;="&amp;'Assumptions &amp; Data'!$C$62)</f>
        <v>20.2797609645824</v>
      </c>
      <c r="BY161" s="37" t="n">
        <f aca="false">'Assumptions &amp; Data'!J197</f>
        <v>36</v>
      </c>
      <c r="BZ161" s="39" t="str">
        <f aca="false">IF(BK161="Close",COUNTIF($BK$106:BK161,"Close"),"")</f>
        <v/>
      </c>
    </row>
    <row r="162" customFormat="false" ht="15" hidden="false" customHeight="false" outlineLevel="0" collapsed="false">
      <c r="A162" s="48" t="str">
        <f aca="false">'Assumptions &amp; Data'!A198</f>
        <v>DS057</v>
      </c>
      <c r="B162" s="48" t="str">
        <f aca="false">'Assumptions &amp; Data'!B198</f>
        <v>Jaipur</v>
      </c>
      <c r="C162" s="48" t="str">
        <f aca="false">'Assumptions &amp; Data'!C198</f>
        <v>Dense residential</v>
      </c>
      <c r="D162" s="37" t="n">
        <f aca="false">'Assumptions &amp; Data'!D198</f>
        <v>36</v>
      </c>
      <c r="E162" s="39" t="n">
        <f aca="false">SUMIFS('Financial Analysis'!$E$71:$E$790,'Financial Analysis'!$B$71:$B$790,$A162,'Financial Analysis'!$C$71:$C$790,"&gt;="&amp;'Assumptions &amp; Data'!$C$62)/'Assumptions &amp; Data'!$C$63</f>
        <v>1095.07608695652</v>
      </c>
      <c r="F162" s="40" t="n">
        <f aca="false">SUMIFS('Financial Analysis'!$H$71:$H$790,'Financial Analysis'!$B$71:$B$790,$A162,'Financial Analysis'!$C$71:$C$790,"&gt;="&amp;'Assumptions &amp; Data'!$C$62)/'Assumptions &amp; Data'!$C$85/100000</f>
        <v>183.0753711868</v>
      </c>
      <c r="G162" s="40" t="n">
        <f aca="false">SUMIFS('Financial Analysis'!$F$71:$F$790,'Financial Analysis'!$B$71:$B$790,$A162,'Financial Analysis'!$C$71:$C$790,"&gt;="&amp;'Assumptions &amp; Data'!$C$62)/SUMIFS('Financial Analysis'!$E$71:$E$790,'Financial Analysis'!$B$71:$B$790,$A162,'Financial Analysis'!$C$71:$C$790,"&gt;="&amp;'Assumptions &amp; Data'!$C$62)</f>
        <v>574.726084151389</v>
      </c>
      <c r="H162" s="49" t="n">
        <f aca="false">SUMIFS('Financial Analysis'!$G$71:$G$790,'Financial Analysis'!$B$71:$B$790,$A162,'Financial Analysis'!$C$71:$C$790,"&gt;="&amp;'Assumptions &amp; Data'!$C$62)/SUMIFS('Financial Analysis'!$F$71:$F$790,'Financial Analysis'!$B$71:$B$790,$A162,'Financial Analysis'!$C$71:$C$790,"&gt;="&amp;'Assumptions &amp; Data'!$C$62)</f>
        <v>0.0514545457414883</v>
      </c>
      <c r="I162" s="49" t="n">
        <f aca="false">SUMIFS('Financial Analysis'!$L$71:$L$790,'Financial Analysis'!$B$71:$B$790,$A162,'Financial Analysis'!$C$71:$C$790,"&gt;="&amp;'Assumptions &amp; Data'!$C$62)/SUMIFS('Financial Analysis'!$H$71:$H$790,'Financial Analysis'!$B$71:$B$790,$A162,'Financial Analysis'!$C$71:$C$790,"&gt;="&amp;'Assumptions &amp; Data'!$C$62)</f>
        <v>0.0213491838289132</v>
      </c>
      <c r="J162" s="40" t="n">
        <f aca="false">SUMIFS('Financial Analysis'!$N$71:$N$790,'Financial Analysis'!$B$71:$B$790,$A162,'Financial Analysis'!$C$71:$C$790,"&gt;="&amp;'Assumptions &amp; Data'!$C$62)/SUMIFS('Financial Analysis'!$E$71:$E$790,'Financial Analysis'!$B$71:$B$790,$A162,'Financial Analysis'!$C$71:$C$790,"&gt;="&amp;'Assumptions &amp; Data'!$C$62)</f>
        <v>29.6700216383614</v>
      </c>
      <c r="K162" s="40" t="n">
        <f aca="false">SUMIFS('Financial Analysis'!$R$71:$R$790,'Financial Analysis'!$B$71:$B$790,$A162,'Financial Analysis'!$C$71:$C$790,"&gt;="&amp;'Assumptions &amp; Data'!$C$62)/AVERAGEIFS('Assumptions &amp; Data'!$M$205:$M$924,'Assumptions &amp; Data'!$B$205:$B$924,$A162,'Assumptions &amp; Data'!$C$205:$C$924,"&gt;="&amp;'Assumptions &amp; Data'!$C$62)/'Assumptions &amp; Data'!$C$85</f>
        <v>28.6675613180279</v>
      </c>
      <c r="L162" s="40" t="n">
        <f aca="false">E162/K162</f>
        <v>38.1991364667587</v>
      </c>
      <c r="M162" s="40" t="n">
        <f aca="false">SUMIFS('Financial Analysis'!$Q$71:$Q$790,'Financial Analysis'!$B$71:$B$790,$A162,'Financial Analysis'!$C$71:$C$790,"&gt;="&amp;'Assumptions &amp; Data'!$C$62)/SUMIFS('Financial Analysis'!$E$71:$E$790,'Financial Analysis'!$B$71:$B$790,$A162,'Financial Analysis'!$C$71:$C$790,"&gt;="&amp;'Assumptions &amp; Data'!$C$62)</f>
        <v>62.8285539029458</v>
      </c>
      <c r="N162" s="40" t="n">
        <f aca="false">SUMIFS('Financial Analysis'!$Y$71:$Y$790,'Financial Analysis'!$B$71:$B$790,$A162,'Financial Analysis'!$C$71:$C$790,"&gt;="&amp;'Assumptions &amp; Data'!$C$62)/'Assumptions &amp; Data'!$C$85/100000</f>
        <v>12.20014</v>
      </c>
      <c r="O162" s="40" t="n">
        <f aca="false">SUMIFS('Financial Analysis'!$V$71:$V$790,'Financial Analysis'!$B$71:$B$790,$A162,'Financial Analysis'!$C$71:$C$790,"&gt;="&amp;'Assumptions &amp; Data'!$C$62)/'Assumptions &amp; Data'!$C$85/100000</f>
        <v>8.89915440020026</v>
      </c>
      <c r="P162" s="49" t="n">
        <f aca="false">O162/F162</f>
        <v>0.0486092386021714</v>
      </c>
      <c r="Q162" s="39" t="n">
        <f aca="false">IF(M162&gt;0,N162*100000/(M162*'Assumptions &amp; Data'!$C$63/'Assumptions &amp; Data'!$C$85),9999)</f>
        <v>633.200396094522</v>
      </c>
      <c r="R162" s="49" t="n">
        <f aca="false">E162/Q162-1</f>
        <v>0.729430514748213</v>
      </c>
      <c r="S162" s="50" t="n">
        <f aca="false">'Assumptions &amp; Data'!E198</f>
        <v>31.3</v>
      </c>
      <c r="T162" s="50" t="n">
        <f aca="false">'Assumptions &amp; Data'!G198</f>
        <v>3.1</v>
      </c>
      <c r="U162" s="49" t="n">
        <f aca="false">MAX(0,('Assumptions &amp; Data'!$C$72-T162)/'Assumptions &amp; Data'!$C$72)*'Assumptions &amp; Data'!$C$73</f>
        <v>0</v>
      </c>
      <c r="V162" s="39" t="n">
        <f aca="false">S162*$B$6*(1-U162)</f>
        <v>1114.95375488573</v>
      </c>
      <c r="W162" s="49" t="n">
        <f aca="false">V162/E162-1</f>
        <v>0.0181518600999209</v>
      </c>
      <c r="X162" s="39" t="n">
        <f aca="false">IF(D162&gt;='Assumptions &amp; Data'!$C$64,1,0)</f>
        <v>1</v>
      </c>
      <c r="Y162" s="40" t="n">
        <f aca="false">IF(AND(X162=1,T162&gt;='Assumptions &amp; Data'!$C$72),E162/S162,"")</f>
        <v>34.986456452285</v>
      </c>
      <c r="Z162" s="49" t="n">
        <f aca="false">IF(X162=1,H162,"")</f>
        <v>0.0514545457414883</v>
      </c>
      <c r="AA162" s="49" t="n">
        <f aca="false">IF(X162=1,I162,"")</f>
        <v>0.0213491838289132</v>
      </c>
      <c r="AB162" s="40" t="n">
        <f aca="false">IF(X162=1,J162,"")</f>
        <v>29.6700216383614</v>
      </c>
      <c r="AC162" s="40" t="n">
        <f aca="false">IF(X162=1,L162,"")</f>
        <v>38.1991364667587</v>
      </c>
      <c r="AD162" s="40" t="n">
        <f aca="false">IF(X162=1,AP162/E162*100,"")</f>
        <v>456.589278092648</v>
      </c>
      <c r="AE162" s="40" t="n">
        <f aca="false">IF(X162=1,M162,"")</f>
        <v>62.8285539029458</v>
      </c>
      <c r="AF162" s="40" t="n">
        <f aca="false">E162*'Assumptions &amp; Data'!$C$63/'Assumptions &amp; Data'!$C$85*G162/100000</f>
        <v>193.006429333333</v>
      </c>
      <c r="AG162" s="49" t="n">
        <f aca="false">MAX(0,H162-$B$7)</f>
        <v>0</v>
      </c>
      <c r="AH162" s="40" t="n">
        <f aca="false">AG162*AF162</f>
        <v>0</v>
      </c>
      <c r="AI162" s="40" t="n">
        <f aca="false">AG162*100*E162*'Assumptions &amp; Data'!$C$63/'Assumptions &amp; Data'!$C$85*M162/100000</f>
        <v>0</v>
      </c>
      <c r="AJ162" s="49" t="n">
        <f aca="false">MAX(0,I162-$B$8)</f>
        <v>0</v>
      </c>
      <c r="AK162" s="40" t="n">
        <f aca="false">AJ162*F162</f>
        <v>0</v>
      </c>
      <c r="AL162" s="40" t="n">
        <f aca="false">MAX(0,K162-E162/$B$10)</f>
        <v>0</v>
      </c>
      <c r="AM162" s="40" t="n">
        <f aca="false">AL162*BN162/K162</f>
        <v>0</v>
      </c>
      <c r="AN162" s="40" t="n">
        <f aca="false">MAX(0,J162-$B$9)</f>
        <v>0</v>
      </c>
      <c r="AO162" s="40" t="n">
        <f aca="false">AN162*E162*'Assumptions &amp; Data'!$C$63/'Assumptions &amp; Data'!$C$85/100000</f>
        <v>0</v>
      </c>
      <c r="AP162" s="37" t="n">
        <f aca="false">'Assumptions &amp; Data'!H198</f>
        <v>5000</v>
      </c>
      <c r="AQ162" s="39" t="n">
        <f aca="false">MIN(AP162,$B$11*E162/100)</f>
        <v>4207.68579746328</v>
      </c>
      <c r="AR162" s="39" t="n">
        <f aca="false">IF(AP162-AQ162&gt;'Assumptions &amp; Data'!$C$78*AP162,AP162-AQ162,0)</f>
        <v>792.314202536724</v>
      </c>
      <c r="AS162" s="50" t="n">
        <f aca="false">'Assumptions &amp; Data'!I198</f>
        <v>87</v>
      </c>
      <c r="AT162" s="40" t="n">
        <f aca="false">INDEX('Assumptions &amp; Data'!$B$89:$E$94,MATCH(B162,'Assumptions &amp; Data'!$A$89:$A$94,0),MATCH(C162,'Assumptions &amp; Data'!$B$88:$E$88,0))</f>
        <v>65</v>
      </c>
      <c r="AU162" s="39" t="n">
        <f aca="false">IF(BY162&lt;='Assumptions &amp; Data'!$C$79,1,0)</f>
        <v>0</v>
      </c>
      <c r="AV162" s="40" t="n">
        <f aca="false">AU162*(AR162*AS162+MAX(0,AS162-AT162)*(AP162-AR162))/100000</f>
        <v>0</v>
      </c>
      <c r="AW162" s="40" t="n">
        <f aca="false">'Assumptions &amp; Data'!$C$67*(AH162-'Assumptions &amp; Data'!$C$68*AI162+AK162+AM162+AO162+AV162)</f>
        <v>0</v>
      </c>
      <c r="AX162" s="40" t="n">
        <f aca="false">O162+AW162</f>
        <v>8.89915440020026</v>
      </c>
      <c r="AY162" s="49" t="n">
        <f aca="false">IF(D162&lt;'Assumptions &amp; Data'!$C$64,'Assumptions &amp; Data'!$C$70,'Assumptions &amp; Data'!$C$69)</f>
        <v>0.5</v>
      </c>
      <c r="AZ162" s="40" t="n">
        <f aca="false">AY162*MAX(0,V162-E162)*'Assumptions &amp; Data'!$C$63/'Assumptions &amp; Data'!$C$85*(M162-'Assumptions &amp; Data'!$C$71)/100000</f>
        <v>0.161016629254961</v>
      </c>
      <c r="BA162" s="40" t="n">
        <f aca="false">AX162+AZ162</f>
        <v>9.06017102945522</v>
      </c>
      <c r="BB162" s="40" t="n">
        <f aca="false">BA162+(1-'Assumptions &amp; Data'!$C$67)*AV162</f>
        <v>9.06017102945522</v>
      </c>
      <c r="BC162" s="48" t="str">
        <f aca="false">'Assumptions &amp; Data'!F198</f>
        <v>DS060</v>
      </c>
      <c r="BD162" s="39" t="n">
        <f aca="false">INDEX('Assumptions &amp; Data'!$K$142:$K$201,MATCH(BC162,'Assumptions &amp; Data'!$A$142:$A$201,0))*'Assumptions &amp; Data'!$C$77</f>
        <v>1296</v>
      </c>
      <c r="BE162" s="39" t="n">
        <f aca="false">MAX(0,BD162-INDEX($E$106:$E$165,MATCH(BC162,$A$106:$A$165,0)))</f>
        <v>600.445652173913</v>
      </c>
      <c r="BF162" s="39" t="n">
        <f aca="false">IF(T162&lt;='Assumptions &amp; Data'!$C$74,MIN('Assumptions &amp; Data'!$C$76*E162,BE162),0)</f>
        <v>0</v>
      </c>
      <c r="BG162" s="40" t="n">
        <f aca="false">-O162+BF162*'Assumptions &amp; Data'!$C$63/'Assumptions &amp; Data'!$C$85*($B$12-'Assumptions &amp; Data'!$C$71)/100000</f>
        <v>-8.89915440020026</v>
      </c>
      <c r="BH162" s="40" t="n">
        <f aca="false">(AS162*AP162*BY162*'Assumptions &amp; Data'!$C$82+K162*(BN162*100000/K162)*'Assumptions &amp; Data'!$C$80*(1-'Assumptions &amp; Data'!$C$81)+AP162*'Assumptions &amp; Data'!$C$83)/100000</f>
        <v>88.465626</v>
      </c>
      <c r="BI162" s="40" t="n">
        <f aca="false">'Assumptions &amp; Data'!L198*MAX(0,1-D162/'Assumptions &amp; Data'!$C$84)</f>
        <v>97.1428571428571</v>
      </c>
      <c r="BJ162" s="40" t="n">
        <f aca="false">IF(BG162&gt;0,BH162/BG162,99)</f>
        <v>99</v>
      </c>
      <c r="BK162" s="2" t="str">
        <f aca="false">IF(AND(P162&gt;='Assumptions &amp; Data'!$C$65,R162&gt;=0,W162&gt;='Assumptions &amp; Data'!$C$66),"Scale",IF(OR(O162&gt;=0,AX162&gt;=0),"Optimise",IF(BA162&gt;=0,"Turn around",IF(BB162&gt;=0,"Relocate or resize",IF(AND(BF162&gt;0,BJ162&lt;='Assumptions &amp; Data'!$C$75,D162&gt;='Assumptions &amp; Data'!$C$64),"Close","Relocate or resize")))))</f>
        <v>Optimise</v>
      </c>
      <c r="BL162" s="42" t="str">
        <f aca="false">INDEX($BK$106:$BK$165,MATCH(BC162,$A$106:$A$165,0))</f>
        <v>Scale</v>
      </c>
      <c r="BM162" s="42" t="str">
        <f aca="false">IF(RANK(P162,$P$106:$P$165)&lt;=ROUND(COUNT($P$106:$P$165)/4,0),"Q1 top",IF(RANK(P162,$P$106:$P$165)&gt;COUNT($P$106:$P$165)-ROUND(COUNT($P$106:$P$165)/4,0),"Q4 bottom","Q2-Q3 middle"))</f>
        <v>Q1 top</v>
      </c>
      <c r="BN162" s="40" t="n">
        <f aca="false">SUMIFS('Financial Analysis'!$R$71:$R$790,'Financial Analysis'!$B$71:$B$790,$A162,'Financial Analysis'!$C$71:$C$790,"&gt;="&amp;'Assumptions &amp; Data'!$C$62)/'Assumptions &amp; Data'!$C$85/100000</f>
        <v>4.62847333333333</v>
      </c>
      <c r="BO162" s="40" t="n">
        <f aca="false">SUMIFS('Financial Analysis'!$H$71:$H$790,'Financial Analysis'!$B$71:$B$790,$A162,'Financial Analysis'!$C$71:$C$790,"&gt;="&amp;'Assumptions &amp; Data'!$C$62)/SUMIFS('Financial Analysis'!$E$71:$E$790,'Financial Analysis'!$B$71:$B$790,$A162,'Financial Analysis'!$C$71:$C$790,"&gt;="&amp;'Assumptions &amp; Data'!$C$62)</f>
        <v>545.153814565595</v>
      </c>
      <c r="BP162" s="40" t="n">
        <f aca="false">(SUMIFS('Financial Analysis'!$I$71:$I$790,'Financial Analysis'!$B$71:$B$790,$A162,'Financial Analysis'!$C$71:$C$790,"&gt;="&amp;'Assumptions &amp; Data'!$C$62)+SUMIFS('Financial Analysis'!$J$71:$J$790,'Financial Analysis'!$B$71:$B$790,$A162,'Financial Analysis'!$C$71:$C$790,"&gt;="&amp;'Assumptions &amp; Data'!$C$62)+SUMIFS('Financial Analysis'!$K$71:$K$790,'Financial Analysis'!$B$71:$B$790,$A162,'Financial Analysis'!$C$71:$C$790,"&gt;="&amp;'Assumptions &amp; Data'!$C$62))/SUMIFS('Financial Analysis'!$E$71:$E$790,'Financial Analysis'!$B$71:$B$790,$A162,'Financial Analysis'!$C$71:$C$790,"&gt;="&amp;'Assumptions &amp; Data'!$C$62)</f>
        <v>118.450809373116</v>
      </c>
      <c r="BQ162" s="40" t="n">
        <f aca="false">SUMIFS('Financial Analysis'!$L$71:$L$790,'Financial Analysis'!$B$71:$B$790,$A162,'Financial Analysis'!$C$71:$C$790,"&gt;="&amp;'Assumptions &amp; Data'!$C$62)/SUMIFS('Financial Analysis'!$E$71:$E$790,'Financial Analysis'!$B$71:$B$790,$A162,'Financial Analysis'!$C$71:$C$790,"&gt;="&amp;'Assumptions &amp; Data'!$C$62)</f>
        <v>11.6385890021942</v>
      </c>
      <c r="BR162" s="40" t="n">
        <f aca="false">SUMIFS('Financial Analysis'!$L$71:$L$790,'Financial Analysis'!$B$71:$B$790,$A162,'Financial Analysis'!$C$71:$C$790,"&gt;="&amp;'Assumptions &amp; Data'!$C$62)/SUMIFS('Financial Analysis'!$E$71:$E$790,'Financial Analysis'!$B$71:$B$790,$A162,'Financial Analysis'!$C$71:$C$790,"&gt;="&amp;'Assumptions &amp; Data'!$C$62)</f>
        <v>11.6385890021942</v>
      </c>
      <c r="BS162" s="40" t="n">
        <f aca="false">SUMIFS('Financial Analysis'!$N$71:$N$790,'Financial Analysis'!$B$71:$B$790,$A162,'Financial Analysis'!$C$71:$C$790,"&gt;="&amp;'Assumptions &amp; Data'!$C$62)/SUMIFS('Financial Analysis'!$E$71:$E$790,'Financial Analysis'!$B$71:$B$790,$A162,'Financial Analysis'!$C$71:$C$790,"&gt;="&amp;'Assumptions &amp; Data'!$C$62)</f>
        <v>29.6700216383614</v>
      </c>
      <c r="BT162" s="40" t="n">
        <f aca="false">(SUMIFS('Financial Analysis'!$O$71:$O$790,'Financial Analysis'!$B$71:$B$790,$A162,'Financial Analysis'!$C$71:$C$790,"&gt;="&amp;'Assumptions &amp; Data'!$C$62)+SUMIFS('Financial Analysis'!$P$71:$P$790,'Financial Analysis'!$B$71:$B$790,$A162,'Financial Analysis'!$C$71:$C$790,"&gt;="&amp;'Assumptions &amp; Data'!$C$62))/SUMIFS('Financial Analysis'!$E$71:$E$790,'Financial Analysis'!$B$71:$B$790,$A162,'Financial Analysis'!$C$71:$C$790,"&gt;="&amp;'Assumptions &amp; Data'!$C$62)</f>
        <v>14.313644829615</v>
      </c>
      <c r="BU162" s="40" t="n">
        <f aca="false">SUMIFS('Financial Analysis'!$R$71:$R$790,'Financial Analysis'!$B$71:$B$790,$A162,'Financial Analysis'!$C$71:$C$790,"&gt;="&amp;'Assumptions &amp; Data'!$C$62)/SUMIFS('Financial Analysis'!$E$71:$E$790,'Financial Analysis'!$B$71:$B$790,$A162,'Financial Analysis'!$C$71:$C$790,"&gt;="&amp;'Assumptions &amp; Data'!$C$62)</f>
        <v>13.7824649865505</v>
      </c>
      <c r="BV162" s="40" t="n">
        <f aca="false">SUMIFS('Financial Analysis'!$S$71:$S$790,'Financial Analysis'!$B$71:$B$790,$A162,'Financial Analysis'!$C$71:$C$790,"&gt;="&amp;'Assumptions &amp; Data'!$C$62)/SUMIFS('Financial Analysis'!$E$71:$E$790,'Financial Analysis'!$B$71:$B$790,$A162,'Financial Analysis'!$C$71:$C$790,"&gt;="&amp;'Assumptions &amp; Data'!$C$62)</f>
        <v>12.953239302411</v>
      </c>
      <c r="BW162" s="40" t="n">
        <f aca="false">(SUMIFS('Financial Analysis'!$T$71:$T$790,'Financial Analysis'!$B$71:$B$790,$A162,'Financial Analysis'!$C$71:$C$790,"&gt;="&amp;'Assumptions &amp; Data'!$C$62)+SUMIFS('Financial Analysis'!$U$71:$U$790,'Financial Analysis'!$B$71:$B$790,$A162,'Financial Analysis'!$C$71:$C$790,"&gt;="&amp;'Assumptions &amp; Data'!$C$62))/SUMIFS('Financial Analysis'!$E$71:$E$790,'Financial Analysis'!$B$71:$B$790,$A162,'Financial Analysis'!$C$71:$C$790,"&gt;="&amp;'Assumptions &amp; Data'!$C$62)</f>
        <v>9.5933377668814</v>
      </c>
      <c r="BX162" s="40" t="n">
        <f aca="false">SUMIFS('Financial Analysis'!$V$71:$V$790,'Financial Analysis'!$B$71:$B$790,$A162,'Financial Analysis'!$C$71:$C$790,"&gt;="&amp;'Assumptions &amp; Data'!$C$62)/SUMIFS('Financial Analysis'!$E$71:$E$790,'Financial Analysis'!$B$71:$B$790,$A162,'Financial Analysis'!$C$71:$C$790,"&gt;="&amp;'Assumptions &amp; Data'!$C$62)</f>
        <v>26.4995118471029</v>
      </c>
      <c r="BY162" s="37" t="n">
        <f aca="false">'Assumptions &amp; Data'!J198</f>
        <v>36</v>
      </c>
      <c r="BZ162" s="39" t="str">
        <f aca="false">IF(BK162="Close",COUNTIF($BK$106:BK162,"Close"),"")</f>
        <v/>
      </c>
    </row>
    <row r="163" customFormat="false" ht="15" hidden="false" customHeight="false" outlineLevel="0" collapsed="false">
      <c r="A163" s="48" t="str">
        <f aca="false">'Assumptions &amp; Data'!A199</f>
        <v>DS058</v>
      </c>
      <c r="B163" s="48" t="str">
        <f aca="false">'Assumptions &amp; Data'!B199</f>
        <v>Jaipur</v>
      </c>
      <c r="C163" s="48" t="str">
        <f aca="false">'Assumptions &amp; Data'!C199</f>
        <v>Mixed use</v>
      </c>
      <c r="D163" s="37" t="n">
        <f aca="false">'Assumptions &amp; Data'!D199</f>
        <v>5</v>
      </c>
      <c r="E163" s="39" t="n">
        <f aca="false">SUMIFS('Financial Analysis'!$E$71:$E$790,'Financial Analysis'!$B$71:$B$790,$A163,'Financial Analysis'!$C$71:$C$790,"&gt;="&amp;'Assumptions &amp; Data'!$C$62)/'Assumptions &amp; Data'!$C$63</f>
        <v>304.54347826087</v>
      </c>
      <c r="F163" s="40" t="n">
        <f aca="false">SUMIFS('Financial Analysis'!$H$71:$H$790,'Financial Analysis'!$B$71:$B$790,$A163,'Financial Analysis'!$C$71:$C$790,"&gt;="&amp;'Assumptions &amp; Data'!$C$62)/'Assumptions &amp; Data'!$C$85/100000</f>
        <v>46.5903335066</v>
      </c>
      <c r="G163" s="40" t="n">
        <f aca="false">SUMIFS('Financial Analysis'!$F$71:$F$790,'Financial Analysis'!$B$71:$B$790,$A163,'Financial Analysis'!$C$71:$C$790,"&gt;="&amp;'Assumptions &amp; Data'!$C$62)/SUMIFS('Financial Analysis'!$E$71:$E$790,'Financial Analysis'!$B$71:$B$790,$A163,'Financial Analysis'!$C$71:$C$790,"&gt;="&amp;'Assumptions &amp; Data'!$C$62)</f>
        <v>537.213826825612</v>
      </c>
      <c r="H163" s="49" t="n">
        <f aca="false">SUMIFS('Financial Analysis'!$G$71:$G$790,'Financial Analysis'!$B$71:$B$790,$A163,'Financial Analysis'!$C$71:$C$790,"&gt;="&amp;'Assumptions &amp; Data'!$C$62)/SUMIFS('Financial Analysis'!$F$71:$F$790,'Financial Analysis'!$B$71:$B$790,$A163,'Financial Analysis'!$C$71:$C$790,"&gt;="&amp;'Assumptions &amp; Data'!$C$62)</f>
        <v>0.0713912726034084</v>
      </c>
      <c r="I163" s="49" t="n">
        <f aca="false">SUMIFS('Financial Analysis'!$L$71:$L$790,'Financial Analysis'!$B$71:$B$790,$A163,'Financial Analysis'!$C$71:$C$790,"&gt;="&amp;'Assumptions &amp; Data'!$C$62)/SUMIFS('Financial Analysis'!$H$71:$H$790,'Financial Analysis'!$B$71:$B$790,$A163,'Financial Analysis'!$C$71:$C$790,"&gt;="&amp;'Assumptions &amp; Data'!$C$62)</f>
        <v>0.0412430072807785</v>
      </c>
      <c r="J163" s="40" t="n">
        <f aca="false">SUMIFS('Financial Analysis'!$N$71:$N$790,'Financial Analysis'!$B$71:$B$790,$A163,'Financial Analysis'!$C$71:$C$790,"&gt;="&amp;'Assumptions &amp; Data'!$C$62)/SUMIFS('Financial Analysis'!$E$71:$E$790,'Financial Analysis'!$B$71:$B$790,$A163,'Financial Analysis'!$C$71:$C$790,"&gt;="&amp;'Assumptions &amp; Data'!$C$62)</f>
        <v>38.5086772788921</v>
      </c>
      <c r="K163" s="40" t="n">
        <f aca="false">SUMIFS('Financial Analysis'!$R$71:$R$790,'Financial Analysis'!$B$71:$B$790,$A163,'Financial Analysis'!$C$71:$C$790,"&gt;="&amp;'Assumptions &amp; Data'!$C$62)/AVERAGEIFS('Assumptions &amp; Data'!$M$205:$M$924,'Assumptions &amp; Data'!$B$205:$B$924,$A163,'Assumptions &amp; Data'!$C$205:$C$924,"&gt;="&amp;'Assumptions &amp; Data'!$C$62)/'Assumptions &amp; Data'!$C$85</f>
        <v>16</v>
      </c>
      <c r="L163" s="40" t="n">
        <f aca="false">E163/K163</f>
        <v>19.0339673913043</v>
      </c>
      <c r="M163" s="40" t="n">
        <f aca="false">SUMIFS('Financial Analysis'!$Q$71:$Q$790,'Financial Analysis'!$B$71:$B$790,$A163,'Financial Analysis'!$C$71:$C$790,"&gt;="&amp;'Assumptions &amp; Data'!$C$62)/SUMIFS('Financial Analysis'!$E$71:$E$790,'Financial Analysis'!$B$71:$B$790,$A163,'Financial Analysis'!$C$71:$C$790,"&gt;="&amp;'Assumptions &amp; Data'!$C$62)</f>
        <v>34.90172560537</v>
      </c>
      <c r="N163" s="40" t="n">
        <f aca="false">SUMIFS('Financial Analysis'!$Y$71:$Y$790,'Financial Analysis'!$B$71:$B$790,$A163,'Financial Analysis'!$C$71:$C$790,"&gt;="&amp;'Assumptions &amp; Data'!$C$62)/'Assumptions &amp; Data'!$C$85/100000</f>
        <v>9.23517666666667</v>
      </c>
      <c r="O163" s="40" t="n">
        <f aca="false">SUMIFS('Financial Analysis'!$V$71:$V$790,'Financial Analysis'!$B$71:$B$790,$A163,'Financial Analysis'!$C$71:$C$790,"&gt;="&amp;'Assumptions &amp; Data'!$C$62)/'Assumptions &amp; Data'!$C$85/100000</f>
        <v>-5.97558817329581</v>
      </c>
      <c r="P163" s="49" t="n">
        <f aca="false">O163/F163</f>
        <v>-0.128258111147655</v>
      </c>
      <c r="Q163" s="39" t="n">
        <f aca="false">IF(M163&gt;0,N163*100000/(M163*'Assumptions &amp; Data'!$C$63/'Assumptions &amp; Data'!$C$85),9999)</f>
        <v>862.842911042361</v>
      </c>
      <c r="R163" s="49" t="n">
        <f aca="false">E163/Q163-1</f>
        <v>-0.647046438739394</v>
      </c>
      <c r="S163" s="50" t="n">
        <f aca="false">'Assumptions &amp; Data'!E199</f>
        <v>31.4</v>
      </c>
      <c r="T163" s="50" t="n">
        <f aca="false">'Assumptions &amp; Data'!G199</f>
        <v>2</v>
      </c>
      <c r="U163" s="49" t="n">
        <f aca="false">MAX(0,('Assumptions &amp; Data'!$C$72-T163)/'Assumptions &amp; Data'!$C$72)*'Assumptions &amp; Data'!$C$73</f>
        <v>0</v>
      </c>
      <c r="V163" s="39" t="n">
        <f aca="false">S163*$B$6*(1-U163)</f>
        <v>1118.51590745725</v>
      </c>
      <c r="W163" s="49" t="n">
        <f aca="false">V163/E163-1</f>
        <v>2.67276263423751</v>
      </c>
      <c r="X163" s="39" t="n">
        <f aca="false">IF(D163&gt;='Assumptions &amp; Data'!$C$64,1,0)</f>
        <v>0</v>
      </c>
      <c r="Y163" s="40" t="str">
        <f aca="false">IF(AND(X163=1,T163&gt;='Assumptions &amp; Data'!$C$72),E163/S163,"")</f>
        <v/>
      </c>
      <c r="Z163" s="49" t="str">
        <f aca="false">IF(X163=1,H163,"")</f>
        <v/>
      </c>
      <c r="AA163" s="49" t="str">
        <f aca="false">IF(X163=1,I163,"")</f>
        <v/>
      </c>
      <c r="AB163" s="40" t="str">
        <f aca="false">IF(X163=1,J163,"")</f>
        <v/>
      </c>
      <c r="AC163" s="40" t="str">
        <f aca="false">IF(X163=1,L163,"")</f>
        <v/>
      </c>
      <c r="AD163" s="40" t="str">
        <f aca="false">IF(X163=1,AP163/E163*100,"")</f>
        <v/>
      </c>
      <c r="AE163" s="40" t="str">
        <f aca="false">IF(X163=1,M163,"")</f>
        <v/>
      </c>
      <c r="AF163" s="40" t="n">
        <f aca="false">E163*'Assumptions &amp; Data'!$C$63/'Assumptions &amp; Data'!$C$85*G163/100000</f>
        <v>50.17219</v>
      </c>
      <c r="AG163" s="49" t="n">
        <f aca="false">MAX(0,H163-$B$7)</f>
        <v>0.0165861726001516</v>
      </c>
      <c r="AH163" s="40" t="n">
        <f aca="false">AG163*AF163</f>
        <v>0.832164603067599</v>
      </c>
      <c r="AI163" s="40" t="n">
        <f aca="false">AG163*100*E163*'Assumptions &amp; Data'!$C$63/'Assumptions &amp; Data'!$C$85*M163/100000</f>
        <v>5.4064097356517</v>
      </c>
      <c r="AJ163" s="49" t="n">
        <f aca="false">MAX(0,I163-$B$8)</f>
        <v>0.0198384135704914</v>
      </c>
      <c r="AK163" s="40" t="n">
        <f aca="false">AJ163*F163</f>
        <v>0.924278304491051</v>
      </c>
      <c r="AL163" s="40" t="n">
        <f aca="false">MAX(0,K163-E163/$B$10)</f>
        <v>8.0209850890582</v>
      </c>
      <c r="AM163" s="40" t="n">
        <f aca="false">AL163*BN163/K163</f>
        <v>1.29501477924541</v>
      </c>
      <c r="AN163" s="40" t="n">
        <f aca="false">MAX(0,J163-$B$9)</f>
        <v>0.302520682431378</v>
      </c>
      <c r="AO163" s="40" t="n">
        <f aca="false">AN163*E163*'Assumptions &amp; Data'!$C$63/'Assumptions &amp; Data'!$C$85/100000</f>
        <v>0.0282534149345412</v>
      </c>
      <c r="AP163" s="37" t="n">
        <f aca="false">'Assumptions &amp; Data'!H199</f>
        <v>5000</v>
      </c>
      <c r="AQ163" s="39" t="n">
        <f aca="false">MIN(AP163,$B$11*E163/100)</f>
        <v>1170.16824990646</v>
      </c>
      <c r="AR163" s="39" t="n">
        <f aca="false">IF(AP163-AQ163&gt;'Assumptions &amp; Data'!$C$78*AP163,AP163-AQ163,0)</f>
        <v>3829.83175009354</v>
      </c>
      <c r="AS163" s="50" t="n">
        <f aca="false">'Assumptions &amp; Data'!I199</f>
        <v>73</v>
      </c>
      <c r="AT163" s="40" t="n">
        <f aca="false">INDEX('Assumptions &amp; Data'!$B$89:$E$94,MATCH(B163,'Assumptions &amp; Data'!$A$89:$A$94,0),MATCH(C163,'Assumptions &amp; Data'!$B$88:$E$88,0))</f>
        <v>72</v>
      </c>
      <c r="AU163" s="39" t="n">
        <f aca="false">IF(BY163&lt;='Assumptions &amp; Data'!$C$79,1,0)</f>
        <v>1</v>
      </c>
      <c r="AV163" s="40" t="n">
        <f aca="false">AU163*(AR163*AS163+MAX(0,AS163-AT163)*(AP163-AR163))/100000</f>
        <v>2.80747886006735</v>
      </c>
      <c r="AW163" s="40" t="n">
        <f aca="false">'Assumptions &amp; Data'!$C$67*(AH163-'Assumptions &amp; Data'!$C$68*AI163+AK163+AM163+AO163+AV163)</f>
        <v>3.49987551866966</v>
      </c>
      <c r="AX163" s="40" t="n">
        <f aca="false">O163+AW163</f>
        <v>-2.47571265462615</v>
      </c>
      <c r="AY163" s="49" t="n">
        <f aca="false">IF(D163&lt;'Assumptions &amp; Data'!$C$64,'Assumptions &amp; Data'!$C$70,'Assumptions &amp; Data'!$C$69)</f>
        <v>0.8</v>
      </c>
      <c r="AZ163" s="40" t="n">
        <f aca="false">AY163*MAX(0,V163-E163)*'Assumptions &amp; Data'!$C$63/'Assumptions &amp; Data'!$C$85*(M163-'Assumptions &amp; Data'!$C$71)/100000</f>
        <v>4.97273936949595</v>
      </c>
      <c r="BA163" s="40" t="n">
        <f aca="false">AX163+AZ163</f>
        <v>2.4970267148698</v>
      </c>
      <c r="BB163" s="40" t="n">
        <f aca="false">BA163+(1-'Assumptions &amp; Data'!$C$67)*AV163</f>
        <v>3.62001825889674</v>
      </c>
      <c r="BC163" s="48" t="str">
        <f aca="false">'Assumptions &amp; Data'!F199</f>
        <v>DS056</v>
      </c>
      <c r="BD163" s="39" t="n">
        <f aca="false">INDEX('Assumptions &amp; Data'!$K$142:$K$201,MATCH(BC163,'Assumptions &amp; Data'!$A$142:$A$201,0))*'Assumptions &amp; Data'!$C$77</f>
        <v>1458</v>
      </c>
      <c r="BE163" s="39" t="n">
        <f aca="false">MAX(0,BD163-INDEX($E$106:$E$165,MATCH(BC163,$A$106:$A$165,0)))</f>
        <v>253.04347826087</v>
      </c>
      <c r="BF163" s="39" t="n">
        <f aca="false">IF(T163&lt;='Assumptions &amp; Data'!$C$74,MIN('Assumptions &amp; Data'!$C$76*E163,BE163),0)</f>
        <v>182.726086956522</v>
      </c>
      <c r="BG163" s="40" t="n">
        <f aca="false">-O163+BF163*'Assumptions &amp; Data'!$C$63/'Assumptions &amp; Data'!$C$85*($B$12-'Assumptions &amp; Data'!$C$71)/100000</f>
        <v>9.04283256053977</v>
      </c>
      <c r="BH163" s="40" t="n">
        <f aca="false">(AS163*AP163*BY163*'Assumptions &amp; Data'!$C$82+K163*(BN163*100000/K163)*'Assumptions &amp; Data'!$C$80*(1-'Assumptions &amp; Data'!$C$81)+AP163*'Assumptions &amp; Data'!$C$83)/100000</f>
        <v>19.274928</v>
      </c>
      <c r="BI163" s="40" t="n">
        <f aca="false">'Assumptions &amp; Data'!L199*MAX(0,1-D163/'Assumptions &amp; Data'!$C$84)</f>
        <v>159.880952380952</v>
      </c>
      <c r="BJ163" s="40" t="n">
        <f aca="false">IF(BG163&gt;0,BH163/BG163,99)</f>
        <v>2.13151441995178</v>
      </c>
      <c r="BK163" s="2" t="str">
        <f aca="false">IF(AND(P163&gt;='Assumptions &amp; Data'!$C$65,R163&gt;=0,W163&gt;='Assumptions &amp; Data'!$C$66),"Scale",IF(OR(O163&gt;=0,AX163&gt;=0),"Optimise",IF(BA163&gt;=0,"Turn around",IF(BB163&gt;=0,"Relocate or resize",IF(AND(BF163&gt;0,BJ163&lt;='Assumptions &amp; Data'!$C$75,D163&gt;='Assumptions &amp; Data'!$C$64),"Close","Relocate or resize")))))</f>
        <v>Turn around</v>
      </c>
      <c r="BL163" s="42" t="str">
        <f aca="false">INDEX($BK$106:$BK$165,MATCH(BC163,$A$106:$A$165,0))</f>
        <v>Optimise</v>
      </c>
      <c r="BM163" s="42" t="str">
        <f aca="false">IF(RANK(P163,$P$106:$P$165)&lt;=ROUND(COUNT($P$106:$P$165)/4,0),"Q1 top",IF(RANK(P163,$P$106:$P$165)&gt;COUNT($P$106:$P$165)-ROUND(COUNT($P$106:$P$165)/4,0),"Q4 bottom","Q2-Q3 middle"))</f>
        <v>Q4 bottom</v>
      </c>
      <c r="BN163" s="40" t="n">
        <f aca="false">SUMIFS('Financial Analysis'!$R$71:$R$790,'Financial Analysis'!$B$71:$B$790,$A163,'Financial Analysis'!$C$71:$C$790,"&gt;="&amp;'Assumptions &amp; Data'!$C$62)/'Assumptions &amp; Data'!$C$85/100000</f>
        <v>2.58325333333333</v>
      </c>
      <c r="BO163" s="40" t="n">
        <f aca="false">SUMIFS('Financial Analysis'!$H$71:$H$790,'Financial Analysis'!$B$71:$B$790,$A163,'Financial Analysis'!$C$71:$C$790,"&gt;="&amp;'Assumptions &amp; Data'!$C$62)/SUMIFS('Financial Analysis'!$E$71:$E$790,'Financial Analysis'!$B$71:$B$790,$A163,'Financial Analysis'!$C$71:$C$790,"&gt;="&amp;'Assumptions &amp; Data'!$C$62)</f>
        <v>498.861448068385</v>
      </c>
      <c r="BP163" s="40" t="n">
        <f aca="false">(SUMIFS('Financial Analysis'!$I$71:$I$790,'Financial Analysis'!$B$71:$B$790,$A163,'Financial Analysis'!$C$71:$C$790,"&gt;="&amp;'Assumptions &amp; Data'!$C$62)+SUMIFS('Financial Analysis'!$J$71:$J$790,'Financial Analysis'!$B$71:$B$790,$A163,'Financial Analysis'!$C$71:$C$790,"&gt;="&amp;'Assumptions &amp; Data'!$C$62)+SUMIFS('Financial Analysis'!$K$71:$K$790,'Financial Analysis'!$B$71:$B$790,$A163,'Financial Analysis'!$C$71:$C$790,"&gt;="&amp;'Assumptions &amp; Data'!$C$62))/SUMIFS('Financial Analysis'!$E$71:$E$790,'Financial Analysis'!$B$71:$B$790,$A163,'Financial Analysis'!$C$71:$C$790,"&gt;="&amp;'Assumptions &amp; Data'!$C$62)</f>
        <v>107.480038561033</v>
      </c>
      <c r="BQ163" s="40" t="n">
        <f aca="false">SUMIFS('Financial Analysis'!$L$71:$L$790,'Financial Analysis'!$B$71:$B$790,$A163,'Financial Analysis'!$C$71:$C$790,"&gt;="&amp;'Assumptions &amp; Data'!$C$62)/SUMIFS('Financial Analysis'!$E$71:$E$790,'Financial Analysis'!$B$71:$B$790,$A163,'Financial Analysis'!$C$71:$C$790,"&gt;="&amp;'Assumptions &amp; Data'!$C$62)</f>
        <v>20.5745463347841</v>
      </c>
      <c r="BR163" s="40" t="n">
        <f aca="false">SUMIFS('Financial Analysis'!$L$71:$L$790,'Financial Analysis'!$B$71:$B$790,$A163,'Financial Analysis'!$C$71:$C$790,"&gt;="&amp;'Assumptions &amp; Data'!$C$62)/SUMIFS('Financial Analysis'!$E$71:$E$790,'Financial Analysis'!$B$71:$B$790,$A163,'Financial Analysis'!$C$71:$C$790,"&gt;="&amp;'Assumptions &amp; Data'!$C$62)</f>
        <v>20.5745463347841</v>
      </c>
      <c r="BS163" s="40" t="n">
        <f aca="false">SUMIFS('Financial Analysis'!$N$71:$N$790,'Financial Analysis'!$B$71:$B$790,$A163,'Financial Analysis'!$C$71:$C$790,"&gt;="&amp;'Assumptions &amp; Data'!$C$62)/SUMIFS('Financial Analysis'!$E$71:$E$790,'Financial Analysis'!$B$71:$B$790,$A163,'Financial Analysis'!$C$71:$C$790,"&gt;="&amp;'Assumptions &amp; Data'!$C$62)</f>
        <v>38.5086772788921</v>
      </c>
      <c r="BT163" s="40" t="n">
        <f aca="false">(SUMIFS('Financial Analysis'!$O$71:$O$790,'Financial Analysis'!$B$71:$B$790,$A163,'Financial Analysis'!$C$71:$C$790,"&gt;="&amp;'Assumptions &amp; Data'!$C$62)+SUMIFS('Financial Analysis'!$P$71:$P$790,'Financial Analysis'!$B$71:$B$790,$A163,'Financial Analysis'!$C$71:$C$790,"&gt;="&amp;'Assumptions &amp; Data'!$C$62))/SUMIFS('Financial Analysis'!$E$71:$E$790,'Financial Analysis'!$B$71:$B$790,$A163,'Financial Analysis'!$C$71:$C$790,"&gt;="&amp;'Assumptions &amp; Data'!$C$62)</f>
        <v>13.4950893419873</v>
      </c>
      <c r="BU163" s="40" t="n">
        <f aca="false">SUMIFS('Financial Analysis'!$R$71:$R$790,'Financial Analysis'!$B$71:$B$790,$A163,'Financial Analysis'!$C$71:$C$790,"&gt;="&amp;'Assumptions &amp; Data'!$C$62)/SUMIFS('Financial Analysis'!$E$71:$E$790,'Financial Analysis'!$B$71:$B$790,$A163,'Financial Analysis'!$C$71:$C$790,"&gt;="&amp;'Assumptions &amp; Data'!$C$62)</f>
        <v>27.6599329002784</v>
      </c>
      <c r="BV163" s="40" t="n">
        <f aca="false">SUMIFS('Financial Analysis'!$S$71:$S$790,'Financial Analysis'!$B$71:$B$790,$A163,'Financial Analysis'!$C$71:$C$790,"&gt;="&amp;'Assumptions &amp; Data'!$C$62)/SUMIFS('Financial Analysis'!$E$71:$E$790,'Financial Analysis'!$B$71:$B$790,$A163,'Financial Analysis'!$C$71:$C$790,"&gt;="&amp;'Assumptions &amp; Data'!$C$62)</f>
        <v>39.0820187022628</v>
      </c>
      <c r="BW163" s="40" t="n">
        <f aca="false">(SUMIFS('Financial Analysis'!$T$71:$T$790,'Financial Analysis'!$B$71:$B$790,$A163,'Financial Analysis'!$C$71:$C$790,"&gt;="&amp;'Assumptions &amp; Data'!$C$62)+SUMIFS('Financial Analysis'!$U$71:$U$790,'Financial Analysis'!$B$71:$B$790,$A163,'Financial Analysis'!$C$71:$C$790,"&gt;="&amp;'Assumptions &amp; Data'!$C$62))/SUMIFS('Financial Analysis'!$E$71:$E$790,'Financial Analysis'!$B$71:$B$790,$A163,'Financial Analysis'!$C$71:$C$790,"&gt;="&amp;'Assumptions &amp; Data'!$C$62)</f>
        <v>32.1428010564637</v>
      </c>
      <c r="BX163" s="40" t="n">
        <f aca="false">SUMIFS('Financial Analysis'!$V$71:$V$790,'Financial Analysis'!$B$71:$B$790,$A163,'Financial Analysis'!$C$71:$C$790,"&gt;="&amp;'Assumptions &amp; Data'!$C$62)/SUMIFS('Financial Analysis'!$E$71:$E$790,'Financial Analysis'!$B$71:$B$790,$A163,'Financial Analysis'!$C$71:$C$790,"&gt;="&amp;'Assumptions &amp; Data'!$C$62)</f>
        <v>-63.9830270536349</v>
      </c>
      <c r="BY163" s="37" t="n">
        <f aca="false">'Assumptions &amp; Data'!J199</f>
        <v>6</v>
      </c>
      <c r="BZ163" s="39" t="str">
        <f aca="false">IF(BK163="Close",COUNTIF($BK$106:BK163,"Close"),"")</f>
        <v/>
      </c>
    </row>
    <row r="164" customFormat="false" ht="15" hidden="false" customHeight="false" outlineLevel="0" collapsed="false">
      <c r="A164" s="48" t="str">
        <f aca="false">'Assumptions &amp; Data'!A200</f>
        <v>DS059</v>
      </c>
      <c r="B164" s="48" t="str">
        <f aca="false">'Assumptions &amp; Data'!B200</f>
        <v>Jaipur</v>
      </c>
      <c r="C164" s="48" t="str">
        <f aca="false">'Assumptions &amp; Data'!C200</f>
        <v>Mixed use</v>
      </c>
      <c r="D164" s="37" t="n">
        <f aca="false">'Assumptions &amp; Data'!D200</f>
        <v>29</v>
      </c>
      <c r="E164" s="39" t="n">
        <f aca="false">SUMIFS('Financial Analysis'!$E$71:$E$790,'Financial Analysis'!$B$71:$B$790,$A164,'Financial Analysis'!$C$71:$C$790,"&gt;="&amp;'Assumptions &amp; Data'!$C$62)/'Assumptions &amp; Data'!$C$63</f>
        <v>1510.3152173913</v>
      </c>
      <c r="F164" s="40" t="n">
        <f aca="false">SUMIFS('Financial Analysis'!$H$71:$H$790,'Financial Analysis'!$B$71:$B$790,$A164,'Financial Analysis'!$C$71:$C$790,"&gt;="&amp;'Assumptions &amp; Data'!$C$62)/'Assumptions &amp; Data'!$C$85/100000</f>
        <v>237.2185327751</v>
      </c>
      <c r="G164" s="40" t="n">
        <f aca="false">SUMIFS('Financial Analysis'!$F$71:$F$790,'Financial Analysis'!$B$71:$B$790,$A164,'Financial Analysis'!$C$71:$C$790,"&gt;="&amp;'Assumptions &amp; Data'!$C$62)/SUMIFS('Financial Analysis'!$E$71:$E$790,'Financial Analysis'!$B$71:$B$790,$A164,'Financial Analysis'!$C$71:$C$790,"&gt;="&amp;'Assumptions &amp; Data'!$C$62)</f>
        <v>544.254799242888</v>
      </c>
      <c r="H164" s="49" t="n">
        <f aca="false">SUMIFS('Financial Analysis'!$G$71:$G$790,'Financial Analysis'!$B$71:$B$790,$A164,'Financial Analysis'!$C$71:$C$790,"&gt;="&amp;'Assumptions &amp; Data'!$C$62)/SUMIFS('Financial Analysis'!$F$71:$F$790,'Financial Analysis'!$B$71:$B$790,$A164,'Financial Analysis'!$C$71:$C$790,"&gt;="&amp;'Assumptions &amp; Data'!$C$62)</f>
        <v>0.0589511306590409</v>
      </c>
      <c r="I164" s="49" t="n">
        <f aca="false">SUMIFS('Financial Analysis'!$L$71:$L$790,'Financial Analysis'!$B$71:$B$790,$A164,'Financial Analysis'!$C$71:$C$790,"&gt;="&amp;'Assumptions &amp; Data'!$C$62)/SUMIFS('Financial Analysis'!$H$71:$H$790,'Financial Analysis'!$B$71:$B$790,$A164,'Financial Analysis'!$C$71:$C$790,"&gt;="&amp;'Assumptions &amp; Data'!$C$62)</f>
        <v>0.0185877093299069</v>
      </c>
      <c r="J164" s="40" t="n">
        <f aca="false">SUMIFS('Financial Analysis'!$N$71:$N$790,'Financial Analysis'!$B$71:$B$790,$A164,'Financial Analysis'!$C$71:$C$790,"&gt;="&amp;'Assumptions &amp; Data'!$C$62)/SUMIFS('Financial Analysis'!$E$71:$E$790,'Financial Analysis'!$B$71:$B$790,$A164,'Financial Analysis'!$C$71:$C$790,"&gt;="&amp;'Assumptions &amp; Data'!$C$62)</f>
        <v>31.2626348516362</v>
      </c>
      <c r="K164" s="40" t="n">
        <f aca="false">SUMIFS('Financial Analysis'!$R$71:$R$790,'Financial Analysis'!$B$71:$B$790,$A164,'Financial Analysis'!$C$71:$C$790,"&gt;="&amp;'Assumptions &amp; Data'!$C$62)/AVERAGEIFS('Assumptions &amp; Data'!$M$205:$M$924,'Assumptions &amp; Data'!$B$205:$B$924,$A164,'Assumptions &amp; Data'!$C$205:$C$924,"&gt;="&amp;'Assumptions &amp; Data'!$C$62)/'Assumptions &amp; Data'!$C$85</f>
        <v>40.6660748203815</v>
      </c>
      <c r="L164" s="40" t="n">
        <f aca="false">E164/K164</f>
        <v>37.1394393007497</v>
      </c>
      <c r="M164" s="40" t="n">
        <f aca="false">SUMIFS('Financial Analysis'!$Q$71:$Q$790,'Financial Analysis'!$B$71:$B$790,$A164,'Financial Analysis'!$C$71:$C$790,"&gt;="&amp;'Assumptions &amp; Data'!$C$62)/SUMIFS('Financial Analysis'!$E$71:$E$790,'Financial Analysis'!$B$71:$B$790,$A164,'Financial Analysis'!$C$71:$C$790,"&gt;="&amp;'Assumptions &amp; Data'!$C$62)</f>
        <v>60.8481188526177</v>
      </c>
      <c r="N164" s="40" t="n">
        <f aca="false">SUMIFS('Financial Analysis'!$Y$71:$Y$790,'Financial Analysis'!$B$71:$B$790,$A164,'Financial Analysis'!$C$71:$C$790,"&gt;="&amp;'Assumptions &amp; Data'!$C$62)/'Assumptions &amp; Data'!$C$85/100000</f>
        <v>14.85923</v>
      </c>
      <c r="O164" s="40" t="n">
        <f aca="false">SUMIFS('Financial Analysis'!$V$71:$V$790,'Financial Analysis'!$B$71:$B$790,$A164,'Financial Analysis'!$C$71:$C$790,"&gt;="&amp;'Assumptions &amp; Data'!$C$62)/'Assumptions &amp; Data'!$C$85/100000</f>
        <v>13.3233875548413</v>
      </c>
      <c r="P164" s="49" t="n">
        <f aca="false">O164/F164</f>
        <v>0.056165036512863</v>
      </c>
      <c r="Q164" s="39" t="n">
        <f aca="false">IF(M164&gt;0,N164*100000/(M164*'Assumptions &amp; Data'!$C$63/'Assumptions &amp; Data'!$C$85),9999)</f>
        <v>796.310745233181</v>
      </c>
      <c r="R164" s="49" t="n">
        <f aca="false">E164/Q164-1</f>
        <v>0.896640509288925</v>
      </c>
      <c r="S164" s="50" t="n">
        <f aca="false">'Assumptions &amp; Data'!E200</f>
        <v>54.1</v>
      </c>
      <c r="T164" s="50" t="n">
        <f aca="false">'Assumptions &amp; Data'!G200</f>
        <v>2.4</v>
      </c>
      <c r="U164" s="49" t="n">
        <f aca="false">MAX(0,('Assumptions &amp; Data'!$C$72-T164)/'Assumptions &amp; Data'!$C$72)*'Assumptions &amp; Data'!$C$73</f>
        <v>0</v>
      </c>
      <c r="V164" s="39" t="n">
        <f aca="false">S164*$B$6*(1-U164)</f>
        <v>1927.12454119226</v>
      </c>
      <c r="W164" s="49" t="n">
        <f aca="false">V164/E164-1</f>
        <v>0.275975054082346</v>
      </c>
      <c r="X164" s="39" t="n">
        <f aca="false">IF(D164&gt;='Assumptions &amp; Data'!$C$64,1,0)</f>
        <v>1</v>
      </c>
      <c r="Y164" s="40" t="n">
        <f aca="false">IF(AND(X164=1,T164&gt;='Assumptions &amp; Data'!$C$72),E164/S164,"")</f>
        <v>27.9171019850518</v>
      </c>
      <c r="Z164" s="49" t="n">
        <f aca="false">IF(X164=1,H164,"")</f>
        <v>0.0589511306590409</v>
      </c>
      <c r="AA164" s="49" t="n">
        <f aca="false">IF(X164=1,I164,"")</f>
        <v>0.0185877093299069</v>
      </c>
      <c r="AB164" s="40" t="n">
        <f aca="false">IF(X164=1,J164,"")</f>
        <v>31.2626348516362</v>
      </c>
      <c r="AC164" s="40" t="n">
        <f aca="false">IF(X164=1,L164,"")</f>
        <v>37.1394393007497</v>
      </c>
      <c r="AD164" s="40" t="n">
        <f aca="false">IF(X164=1,AP164/E164*100,"")</f>
        <v>364.162390517384</v>
      </c>
      <c r="AE164" s="40" t="n">
        <f aca="false">IF(X164=1,M164,"")</f>
        <v>60.8481188526177</v>
      </c>
      <c r="AF164" s="40" t="n">
        <f aca="false">E164*'Assumptions &amp; Data'!$C$63/'Assumptions &amp; Data'!$C$85*G164/100000</f>
        <v>252.078867</v>
      </c>
      <c r="AG164" s="49" t="n">
        <f aca="false">MAX(0,H164-$B$7)</f>
        <v>0.00414603065578414</v>
      </c>
      <c r="AH164" s="40" t="n">
        <f aca="false">AG164*AF164</f>
        <v>1.04512671025733</v>
      </c>
      <c r="AI164" s="40" t="n">
        <f aca="false">AG164*100*E164*'Assumptions &amp; Data'!$C$63/'Assumptions &amp; Data'!$C$85*M164/100000</f>
        <v>11.6845996342612</v>
      </c>
      <c r="AJ164" s="49" t="n">
        <f aca="false">MAX(0,I164-$B$8)</f>
        <v>0</v>
      </c>
      <c r="AK164" s="40" t="n">
        <f aca="false">AJ164*F164</f>
        <v>0</v>
      </c>
      <c r="AL164" s="40" t="n">
        <f aca="false">MAX(0,K164-E164/$B$10)</f>
        <v>1.09593623588398</v>
      </c>
      <c r="AM164" s="40" t="n">
        <f aca="false">AL164*BN164/K164</f>
        <v>0.176942558404254</v>
      </c>
      <c r="AN164" s="40" t="n">
        <f aca="false">MAX(0,J164-$B$9)</f>
        <v>0</v>
      </c>
      <c r="AO164" s="40" t="n">
        <f aca="false">AN164*E164*'Assumptions &amp; Data'!$C$63/'Assumptions &amp; Data'!$C$85/100000</f>
        <v>0</v>
      </c>
      <c r="AP164" s="37" t="n">
        <f aca="false">'Assumptions &amp; Data'!H200</f>
        <v>5500</v>
      </c>
      <c r="AQ164" s="39" t="n">
        <f aca="false">MIN(AP164,$B$11*E164/100)</f>
        <v>5500</v>
      </c>
      <c r="AR164" s="39" t="n">
        <f aca="false">IF(AP164-AQ164&gt;'Assumptions &amp; Data'!$C$78*AP164,AP164-AQ164,0)</f>
        <v>0</v>
      </c>
      <c r="AS164" s="50" t="n">
        <f aca="false">'Assumptions &amp; Data'!I200</f>
        <v>77</v>
      </c>
      <c r="AT164" s="40" t="n">
        <f aca="false">INDEX('Assumptions &amp; Data'!$B$89:$E$94,MATCH(B164,'Assumptions &amp; Data'!$A$89:$A$94,0),MATCH(C164,'Assumptions &amp; Data'!$B$88:$E$88,0))</f>
        <v>72</v>
      </c>
      <c r="AU164" s="39" t="n">
        <f aca="false">IF(BY164&lt;='Assumptions &amp; Data'!$C$79,1,0)</f>
        <v>1</v>
      </c>
      <c r="AV164" s="40" t="n">
        <f aca="false">AU164*(AR164*AS164+MAX(0,AS164-AT164)*(AP164-AR164))/100000</f>
        <v>0.275</v>
      </c>
      <c r="AW164" s="40" t="n">
        <f aca="false">'Assumptions &amp; Data'!$C$67*(AH164-'Assumptions &amp; Data'!$C$68*AI164+AK164+AM164+AO164+AV164)</f>
        <v>0.828133963391386</v>
      </c>
      <c r="AX164" s="40" t="n">
        <f aca="false">O164+AW164</f>
        <v>14.1515215182327</v>
      </c>
      <c r="AY164" s="49" t="n">
        <f aca="false">IF(D164&lt;'Assumptions &amp; Data'!$C$64,'Assumptions &amp; Data'!$C$70,'Assumptions &amp; Data'!$C$69)</f>
        <v>0.5</v>
      </c>
      <c r="AZ164" s="40" t="n">
        <f aca="false">AY164*MAX(0,V164-E164)*'Assumptions &amp; Data'!$C$63/'Assumptions &amp; Data'!$C$85*(M164-'Assumptions &amp; Data'!$C$71)/100000</f>
        <v>3.24974207211157</v>
      </c>
      <c r="BA164" s="40" t="n">
        <f aca="false">AX164+AZ164</f>
        <v>17.4012635903442</v>
      </c>
      <c r="BB164" s="40" t="n">
        <f aca="false">BA164+(1-'Assumptions &amp; Data'!$C$67)*AV164</f>
        <v>17.5112635903442</v>
      </c>
      <c r="BC164" s="48" t="str">
        <f aca="false">'Assumptions &amp; Data'!F200</f>
        <v>DS055</v>
      </c>
      <c r="BD164" s="39" t="n">
        <f aca="false">INDEX('Assumptions &amp; Data'!$K$142:$K$201,MATCH(BC164,'Assumptions &amp; Data'!$A$142:$A$201,0))*'Assumptions &amp; Data'!$C$77</f>
        <v>1296</v>
      </c>
      <c r="BE164" s="39" t="n">
        <f aca="false">MAX(0,BD164-INDEX($E$106:$E$165,MATCH(BC164,$A$106:$A$165,0)))</f>
        <v>113.130434782609</v>
      </c>
      <c r="BF164" s="39" t="n">
        <f aca="false">IF(T164&lt;='Assumptions &amp; Data'!$C$74,MIN('Assumptions &amp; Data'!$C$76*E164,BE164),0)</f>
        <v>0</v>
      </c>
      <c r="BG164" s="40" t="n">
        <f aca="false">-O164+BF164*'Assumptions &amp; Data'!$C$63/'Assumptions &amp; Data'!$C$85*($B$12-'Assumptions &amp; Data'!$C$71)/100000</f>
        <v>-13.3233875548413</v>
      </c>
      <c r="BH164" s="40" t="n">
        <f aca="false">(AS164*AP164*BY164*'Assumptions &amp; Data'!$C$82+K164*(BN164*100000/K164)*'Assumptions &amp; Data'!$C$80*(1-'Assumptions &amp; Data'!$C$81)+AP164*'Assumptions &amp; Data'!$C$83)/100000</f>
        <v>12.509106</v>
      </c>
      <c r="BI164" s="40" t="n">
        <f aca="false">'Assumptions &amp; Data'!L200*MAX(0,1-D164/'Assumptions &amp; Data'!$C$84)</f>
        <v>122.440476190476</v>
      </c>
      <c r="BJ164" s="40" t="n">
        <f aca="false">IF(BG164&gt;0,BH164/BG164,99)</f>
        <v>99</v>
      </c>
      <c r="BK164" s="2" t="str">
        <f aca="false">IF(AND(P164&gt;='Assumptions &amp; Data'!$C$65,R164&gt;=0,W164&gt;='Assumptions &amp; Data'!$C$66),"Scale",IF(OR(O164&gt;=0,AX164&gt;=0),"Optimise",IF(BA164&gt;=0,"Turn around",IF(BB164&gt;=0,"Relocate or resize",IF(AND(BF164&gt;0,BJ164&lt;='Assumptions &amp; Data'!$C$75,D164&gt;='Assumptions &amp; Data'!$C$64),"Close","Relocate or resize")))))</f>
        <v>Scale</v>
      </c>
      <c r="BL164" s="42" t="str">
        <f aca="false">INDEX($BK$106:$BK$165,MATCH(BC164,$A$106:$A$165,0))</f>
        <v>Optimise</v>
      </c>
      <c r="BM164" s="42" t="str">
        <f aca="false">IF(RANK(P164,$P$106:$P$165)&lt;=ROUND(COUNT($P$106:$P$165)/4,0),"Q1 top",IF(RANK(P164,$P$106:$P$165)&gt;COUNT($P$106:$P$165)-ROUND(COUNT($P$106:$P$165)/4,0),"Q4 bottom","Q2-Q3 middle"))</f>
        <v>Q1 top</v>
      </c>
      <c r="BN164" s="40" t="n">
        <f aca="false">SUMIFS('Financial Analysis'!$R$71:$R$790,'Financial Analysis'!$B$71:$B$790,$A164,'Financial Analysis'!$C$71:$C$790,"&gt;="&amp;'Assumptions &amp; Data'!$C$62)/'Assumptions &amp; Data'!$C$85/100000</f>
        <v>6.56567333333333</v>
      </c>
      <c r="BO164" s="40" t="n">
        <f aca="false">SUMIFS('Financial Analysis'!$H$71:$H$790,'Financial Analysis'!$B$71:$B$790,$A164,'Financial Analysis'!$C$71:$C$790,"&gt;="&amp;'Assumptions &amp; Data'!$C$62)/SUMIFS('Financial Analysis'!$E$71:$E$790,'Financial Analysis'!$B$71:$B$790,$A164,'Financial Analysis'!$C$71:$C$790,"&gt;="&amp;'Assumptions &amp; Data'!$C$62)</f>
        <v>512.17036346091</v>
      </c>
      <c r="BP164" s="40" t="n">
        <f aca="false">(SUMIFS('Financial Analysis'!$I$71:$I$790,'Financial Analysis'!$B$71:$B$790,$A164,'Financial Analysis'!$C$71:$C$790,"&gt;="&amp;'Assumptions &amp; Data'!$C$62)+SUMIFS('Financial Analysis'!$J$71:$J$790,'Financial Analysis'!$B$71:$B$790,$A164,'Financial Analysis'!$C$71:$C$790,"&gt;="&amp;'Assumptions &amp; Data'!$C$62)+SUMIFS('Financial Analysis'!$K$71:$K$790,'Financial Analysis'!$B$71:$B$790,$A164,'Financial Analysis'!$C$71:$C$790,"&gt;="&amp;'Assumptions &amp; Data'!$C$62))/SUMIFS('Financial Analysis'!$E$71:$E$790,'Financial Analysis'!$B$71:$B$790,$A164,'Financial Analysis'!$C$71:$C$790,"&gt;="&amp;'Assumptions &amp; Data'!$C$62)</f>
        <v>115.60907725612</v>
      </c>
      <c r="BQ164" s="40" t="n">
        <f aca="false">SUMIFS('Financial Analysis'!$L$71:$L$790,'Financial Analysis'!$B$71:$B$790,$A164,'Financial Analysis'!$C$71:$C$790,"&gt;="&amp;'Assumptions &amp; Data'!$C$62)/SUMIFS('Financial Analysis'!$E$71:$E$790,'Financial Analysis'!$B$71:$B$790,$A164,'Financial Analysis'!$C$71:$C$790,"&gt;="&amp;'Assumptions &amp; Data'!$C$62)</f>
        <v>9.52007384340414</v>
      </c>
      <c r="BR164" s="40" t="n">
        <f aca="false">SUMIFS('Financial Analysis'!$L$71:$L$790,'Financial Analysis'!$B$71:$B$790,$A164,'Financial Analysis'!$C$71:$C$790,"&gt;="&amp;'Assumptions &amp; Data'!$C$62)/SUMIFS('Financial Analysis'!$E$71:$E$790,'Financial Analysis'!$B$71:$B$790,$A164,'Financial Analysis'!$C$71:$C$790,"&gt;="&amp;'Assumptions &amp; Data'!$C$62)</f>
        <v>9.52007384340414</v>
      </c>
      <c r="BS164" s="40" t="n">
        <f aca="false">SUMIFS('Financial Analysis'!$N$71:$N$790,'Financial Analysis'!$B$71:$B$790,$A164,'Financial Analysis'!$C$71:$C$790,"&gt;="&amp;'Assumptions &amp; Data'!$C$62)/SUMIFS('Financial Analysis'!$E$71:$E$790,'Financial Analysis'!$B$71:$B$790,$A164,'Financial Analysis'!$C$71:$C$790,"&gt;="&amp;'Assumptions &amp; Data'!$C$62)</f>
        <v>31.2626348516362</v>
      </c>
      <c r="BT164" s="40" t="n">
        <f aca="false">(SUMIFS('Financial Analysis'!$O$71:$O$790,'Financial Analysis'!$B$71:$B$790,$A164,'Financial Analysis'!$C$71:$C$790,"&gt;="&amp;'Assumptions &amp; Data'!$C$62)+SUMIFS('Financial Analysis'!$P$71:$P$790,'Financial Analysis'!$B$71:$B$790,$A164,'Financial Analysis'!$C$71:$C$790,"&gt;="&amp;'Assumptions &amp; Data'!$C$62))/SUMIFS('Financial Analysis'!$E$71:$E$790,'Financial Analysis'!$B$71:$B$790,$A164,'Financial Analysis'!$C$71:$C$790,"&gt;="&amp;'Assumptions &amp; Data'!$C$62)</f>
        <v>13.978249708462</v>
      </c>
      <c r="BU164" s="40" t="n">
        <f aca="false">SUMIFS('Financial Analysis'!$R$71:$R$790,'Financial Analysis'!$B$71:$B$790,$A164,'Financial Analysis'!$C$71:$C$790,"&gt;="&amp;'Assumptions &amp; Data'!$C$62)/SUMIFS('Financial Analysis'!$E$71:$E$790,'Financial Analysis'!$B$71:$B$790,$A164,'Financial Analysis'!$C$71:$C$790,"&gt;="&amp;'Assumptions &amp; Data'!$C$62)</f>
        <v>14.1757191487524</v>
      </c>
      <c r="BV164" s="40" t="n">
        <f aca="false">SUMIFS('Financial Analysis'!$S$71:$S$790,'Financial Analysis'!$B$71:$B$790,$A164,'Financial Analysis'!$C$71:$C$790,"&gt;="&amp;'Assumptions &amp; Data'!$C$62)/SUMIFS('Financial Analysis'!$E$71:$E$790,'Financial Analysis'!$B$71:$B$790,$A164,'Financial Analysis'!$C$71:$C$790,"&gt;="&amp;'Assumptions &amp; Data'!$C$62)</f>
        <v>9.1436426314691</v>
      </c>
      <c r="BW164" s="40" t="n">
        <f aca="false">(SUMIFS('Financial Analysis'!$T$71:$T$790,'Financial Analysis'!$B$71:$B$790,$A164,'Financial Analysis'!$C$71:$C$790,"&gt;="&amp;'Assumptions &amp; Data'!$C$62)+SUMIFS('Financial Analysis'!$U$71:$U$790,'Financial Analysis'!$B$71:$B$790,$A164,'Financial Analysis'!$C$71:$C$790,"&gt;="&amp;'Assumptions &amp; Data'!$C$62))/SUMIFS('Financial Analysis'!$E$71:$E$790,'Financial Analysis'!$B$71:$B$790,$A164,'Financial Analysis'!$C$71:$C$790,"&gt;="&amp;'Assumptions &amp; Data'!$C$62)</f>
        <v>8.7626899078079</v>
      </c>
      <c r="BX164" s="40" t="n">
        <f aca="false">SUMIFS('Financial Analysis'!$V$71:$V$790,'Financial Analysis'!$B$71:$B$790,$A164,'Financial Analysis'!$C$71:$C$790,"&gt;="&amp;'Assumptions &amp; Data'!$C$62)/SUMIFS('Financial Analysis'!$E$71:$E$790,'Financial Analysis'!$B$71:$B$790,$A164,'Financial Analysis'!$C$71:$C$790,"&gt;="&amp;'Assumptions &amp; Data'!$C$62)</f>
        <v>28.7660671645883</v>
      </c>
      <c r="BY164" s="37" t="n">
        <f aca="false">'Assumptions &amp; Data'!J200</f>
        <v>0</v>
      </c>
      <c r="BZ164" s="39" t="str">
        <f aca="false">IF(BK164="Close",COUNTIF($BK$106:BK164,"Close"),"")</f>
        <v/>
      </c>
    </row>
    <row r="165" customFormat="false" ht="15" hidden="false" customHeight="false" outlineLevel="0" collapsed="false">
      <c r="A165" s="48" t="str">
        <f aca="false">'Assumptions &amp; Data'!A201</f>
        <v>DS060</v>
      </c>
      <c r="B165" s="48" t="str">
        <f aca="false">'Assumptions &amp; Data'!B201</f>
        <v>Jaipur</v>
      </c>
      <c r="C165" s="48" t="str">
        <f aca="false">'Assumptions &amp; Data'!C201</f>
        <v>Dense residential</v>
      </c>
      <c r="D165" s="37" t="n">
        <f aca="false">'Assumptions &amp; Data'!D201</f>
        <v>18</v>
      </c>
      <c r="E165" s="39" t="n">
        <f aca="false">SUMIFS('Financial Analysis'!$E$71:$E$790,'Financial Analysis'!$B$71:$B$790,$A165,'Financial Analysis'!$C$71:$C$790,"&gt;="&amp;'Assumptions &amp; Data'!$C$62)/'Assumptions &amp; Data'!$C$63</f>
        <v>695.554347826087</v>
      </c>
      <c r="F165" s="40" t="n">
        <f aca="false">SUMIFS('Financial Analysis'!$H$71:$H$790,'Financial Analysis'!$B$71:$B$790,$A165,'Financial Analysis'!$C$71:$C$790,"&gt;="&amp;'Assumptions &amp; Data'!$C$62)/'Assumptions &amp; Data'!$C$85/100000</f>
        <v>121.297478746833</v>
      </c>
      <c r="G165" s="40" t="n">
        <f aca="false">SUMIFS('Financial Analysis'!$F$71:$F$790,'Financial Analysis'!$B$71:$B$790,$A165,'Financial Analysis'!$C$71:$C$790,"&gt;="&amp;'Assumptions &amp; Data'!$C$62)/SUMIFS('Financial Analysis'!$E$71:$E$790,'Financial Analysis'!$B$71:$B$790,$A165,'Financial Analysis'!$C$71:$C$790,"&gt;="&amp;'Assumptions &amp; Data'!$C$62)</f>
        <v>607.921304558454</v>
      </c>
      <c r="H165" s="49" t="n">
        <f aca="false">SUMIFS('Financial Analysis'!$G$71:$G$790,'Financial Analysis'!$B$71:$B$790,$A165,'Financial Analysis'!$C$71:$C$790,"&gt;="&amp;'Assumptions &amp; Data'!$C$62)/SUMIFS('Financial Analysis'!$F$71:$F$790,'Financial Analysis'!$B$71:$B$790,$A165,'Financial Analysis'!$C$71:$C$790,"&gt;="&amp;'Assumptions &amp; Data'!$C$62)</f>
        <v>0.0645797483303224</v>
      </c>
      <c r="I165" s="49" t="n">
        <f aca="false">SUMIFS('Financial Analysis'!$L$71:$L$790,'Financial Analysis'!$B$71:$B$790,$A165,'Financial Analysis'!$C$71:$C$790,"&gt;="&amp;'Assumptions &amp; Data'!$C$62)/SUMIFS('Financial Analysis'!$H$71:$H$790,'Financial Analysis'!$B$71:$B$790,$A165,'Financial Analysis'!$C$71:$C$790,"&gt;="&amp;'Assumptions &amp; Data'!$C$62)</f>
        <v>0.0371287264464983</v>
      </c>
      <c r="J165" s="40" t="n">
        <f aca="false">SUMIFS('Financial Analysis'!$N$71:$N$790,'Financial Analysis'!$B$71:$B$790,$A165,'Financial Analysis'!$C$71:$C$790,"&gt;="&amp;'Assumptions &amp; Data'!$C$62)/SUMIFS('Financial Analysis'!$E$71:$E$790,'Financial Analysis'!$B$71:$B$790,$A165,'Financial Analysis'!$C$71:$C$790,"&gt;="&amp;'Assumptions &amp; Data'!$C$62)</f>
        <v>31.3530574612055</v>
      </c>
      <c r="K165" s="40" t="n">
        <f aca="false">SUMIFS('Financial Analysis'!$R$71:$R$790,'Financial Analysis'!$B$71:$B$790,$A165,'Financial Analysis'!$C$71:$C$790,"&gt;="&amp;'Assumptions &amp; Data'!$C$62)/AVERAGEIFS('Assumptions &amp; Data'!$M$205:$M$924,'Assumptions &amp; Data'!$B$205:$B$924,$A165,'Assumptions &amp; Data'!$C$205:$C$924,"&gt;="&amp;'Assumptions &amp; Data'!$C$62)/'Assumptions &amp; Data'!$C$85</f>
        <v>16.3336361384094</v>
      </c>
      <c r="L165" s="40" t="n">
        <f aca="false">E165/K165</f>
        <v>42.5841705993715</v>
      </c>
      <c r="M165" s="40" t="n">
        <f aca="false">SUMIFS('Financial Analysis'!$Q$71:$Q$790,'Financial Analysis'!$B$71:$B$790,$A165,'Financial Analysis'!$C$71:$C$790,"&gt;="&amp;'Assumptions &amp; Data'!$C$62)/SUMIFS('Financial Analysis'!$E$71:$E$790,'Financial Analysis'!$B$71:$B$790,$A165,'Financial Analysis'!$C$71:$C$790,"&gt;="&amp;'Assumptions &amp; Data'!$C$62)</f>
        <v>54.0189575492866</v>
      </c>
      <c r="N165" s="40" t="n">
        <f aca="false">SUMIFS('Financial Analysis'!$Y$71:$Y$790,'Financial Analysis'!$B$71:$B$790,$A165,'Financial Analysis'!$C$71:$C$790,"&gt;="&amp;'Assumptions &amp; Data'!$C$62)/'Assumptions &amp; Data'!$C$85/100000</f>
        <v>7.51388333333333</v>
      </c>
      <c r="O165" s="40" t="n">
        <f aca="false">SUMIFS('Financial Analysis'!$V$71:$V$790,'Financial Analysis'!$B$71:$B$790,$A165,'Financial Analysis'!$C$71:$C$790,"&gt;="&amp;'Assumptions &amp; Data'!$C$62)/'Assumptions &amp; Data'!$C$85/100000</f>
        <v>4.00854037512132</v>
      </c>
      <c r="P165" s="49" t="n">
        <f aca="false">O165/F165</f>
        <v>0.033047186277365</v>
      </c>
      <c r="Q165" s="39" t="n">
        <f aca="false">IF(M165&gt;0,N165*100000/(M165*'Assumptions &amp; Data'!$C$63/'Assumptions &amp; Data'!$C$85),9999)</f>
        <v>453.577680685629</v>
      </c>
      <c r="R165" s="49" t="n">
        <f aca="false">E165/Q165-1</f>
        <v>0.533484510910425</v>
      </c>
      <c r="S165" s="50" t="n">
        <f aca="false">'Assumptions &amp; Data'!E201</f>
        <v>23.4</v>
      </c>
      <c r="T165" s="50" t="n">
        <f aca="false">'Assumptions &amp; Data'!G201</f>
        <v>3.1</v>
      </c>
      <c r="U165" s="49" t="n">
        <f aca="false">MAX(0,('Assumptions &amp; Data'!$C$72-T165)/'Assumptions &amp; Data'!$C$72)*'Assumptions &amp; Data'!$C$73</f>
        <v>0</v>
      </c>
      <c r="V165" s="39" t="n">
        <f aca="false">S165*$B$6*(1-U165)</f>
        <v>833.543701735654</v>
      </c>
      <c r="W165" s="49" t="n">
        <f aca="false">V165/E165-1</f>
        <v>0.198387594500479</v>
      </c>
      <c r="X165" s="39" t="n">
        <f aca="false">IF(D165&gt;='Assumptions &amp; Data'!$C$64,1,0)</f>
        <v>1</v>
      </c>
      <c r="Y165" s="40" t="n">
        <f aca="false">IF(AND(X165=1,T165&gt;='Assumptions &amp; Data'!$C$72),E165/S165,"")</f>
        <v>29.7245447788926</v>
      </c>
      <c r="Z165" s="49" t="n">
        <f aca="false">IF(X165=1,H165,"")</f>
        <v>0.0645797483303224</v>
      </c>
      <c r="AA165" s="49" t="n">
        <f aca="false">IF(X165=1,I165,"")</f>
        <v>0.0371287264464983</v>
      </c>
      <c r="AB165" s="40" t="n">
        <f aca="false">IF(X165=1,J165,"")</f>
        <v>31.3530574612055</v>
      </c>
      <c r="AC165" s="40" t="n">
        <f aca="false">IF(X165=1,L165,"")</f>
        <v>42.5841705993715</v>
      </c>
      <c r="AD165" s="40" t="n">
        <f aca="false">IF(X165=1,AP165/E165*100,"")</f>
        <v>575.080870747449</v>
      </c>
      <c r="AE165" s="40" t="n">
        <f aca="false">IF(X165=1,M165,"")</f>
        <v>54.0189575492866</v>
      </c>
      <c r="AF165" s="40" t="n">
        <f aca="false">E165*'Assumptions &amp; Data'!$C$63/'Assumptions &amp; Data'!$C$85*G165/100000</f>
        <v>129.671640666667</v>
      </c>
      <c r="AG165" s="49" t="n">
        <f aca="false">MAX(0,H165-$B$7)</f>
        <v>0.00977464832706559</v>
      </c>
      <c r="AH165" s="40" t="n">
        <f aca="false">AG165*AF165</f>
        <v>1.26749468551028</v>
      </c>
      <c r="AI165" s="40" t="n">
        <f aca="false">AG165*100*E165*'Assumptions &amp; Data'!$C$63/'Assumptions &amp; Data'!$C$85*M165/100000</f>
        <v>11.2627639625587</v>
      </c>
      <c r="AJ165" s="49" t="n">
        <f aca="false">MAX(0,I165-$B$8)</f>
        <v>0.0157241327362112</v>
      </c>
      <c r="AK165" s="40" t="n">
        <f aca="false">AJ165*F165</f>
        <v>1.90729765638296</v>
      </c>
      <c r="AL165" s="40" t="n">
        <f aca="false">MAX(0,K165-E165/$B$10)</f>
        <v>0</v>
      </c>
      <c r="AM165" s="40" t="n">
        <f aca="false">AL165*BN165/K165</f>
        <v>0</v>
      </c>
      <c r="AN165" s="40" t="n">
        <f aca="false">MAX(0,J165-$B$9)</f>
        <v>0</v>
      </c>
      <c r="AO165" s="40" t="n">
        <f aca="false">AN165*E165*'Assumptions &amp; Data'!$C$63/'Assumptions &amp; Data'!$C$85/100000</f>
        <v>0</v>
      </c>
      <c r="AP165" s="37" t="n">
        <f aca="false">'Assumptions &amp; Data'!H201</f>
        <v>4000</v>
      </c>
      <c r="AQ165" s="39" t="n">
        <f aca="false">MIN(AP165,$B$11*E165/100)</f>
        <v>2672.5760753717</v>
      </c>
      <c r="AR165" s="39" t="n">
        <f aca="false">IF(AP165-AQ165&gt;'Assumptions &amp; Data'!$C$78*AP165,AP165-AQ165,0)</f>
        <v>1327.4239246283</v>
      </c>
      <c r="AS165" s="50" t="n">
        <f aca="false">'Assumptions &amp; Data'!I201</f>
        <v>47</v>
      </c>
      <c r="AT165" s="40" t="n">
        <f aca="false">INDEX('Assumptions &amp; Data'!$B$89:$E$94,MATCH(B165,'Assumptions &amp; Data'!$A$89:$A$94,0),MATCH(C165,'Assumptions &amp; Data'!$B$88:$E$88,0))</f>
        <v>65</v>
      </c>
      <c r="AU165" s="39" t="n">
        <f aca="false">IF(BY165&lt;='Assumptions &amp; Data'!$C$79,1,0)</f>
        <v>1</v>
      </c>
      <c r="AV165" s="40" t="n">
        <f aca="false">AU165*(AR165*AS165+MAX(0,AS165-AT165)*(AP165-AR165))/100000</f>
        <v>0.623889244575302</v>
      </c>
      <c r="AW165" s="40" t="n">
        <f aca="false">'Assumptions &amp; Data'!$C$67*(AH165-'Assumptions &amp; Data'!$C$68*AI165+AK165+AM165+AO165+AV165)</f>
        <v>2.21163236810577</v>
      </c>
      <c r="AX165" s="40" t="n">
        <f aca="false">O165+AW165</f>
        <v>6.2201727432271</v>
      </c>
      <c r="AY165" s="49" t="n">
        <f aca="false">IF(D165&lt;'Assumptions &amp; Data'!$C$64,'Assumptions &amp; Data'!$C$70,'Assumptions &amp; Data'!$C$69)</f>
        <v>0.5</v>
      </c>
      <c r="AZ165" s="40" t="n">
        <f aca="false">AY165*MAX(0,V165-E165)*'Assumptions &amp; Data'!$C$63/'Assumptions &amp; Data'!$C$85*(M165-'Assumptions &amp; Data'!$C$71)/100000</f>
        <v>0.931369285173136</v>
      </c>
      <c r="BA165" s="40" t="n">
        <f aca="false">AX165+AZ165</f>
        <v>7.15154202840023</v>
      </c>
      <c r="BB165" s="40" t="n">
        <f aca="false">BA165+(1-'Assumptions &amp; Data'!$C$67)*AV165</f>
        <v>7.40109772623035</v>
      </c>
      <c r="BC165" s="48" t="str">
        <f aca="false">'Assumptions &amp; Data'!F201</f>
        <v>DS057</v>
      </c>
      <c r="BD165" s="39" t="n">
        <f aca="false">INDEX('Assumptions &amp; Data'!$K$142:$K$201,MATCH(BC165,'Assumptions &amp; Data'!$A$142:$A$201,0))*'Assumptions &amp; Data'!$C$77</f>
        <v>1620</v>
      </c>
      <c r="BE165" s="39" t="n">
        <f aca="false">MAX(0,BD165-INDEX($E$106:$E$165,MATCH(BC165,$A$106:$A$165,0)))</f>
        <v>524.923913043478</v>
      </c>
      <c r="BF165" s="39" t="n">
        <f aca="false">IF(T165&lt;='Assumptions &amp; Data'!$C$74,MIN('Assumptions &amp; Data'!$C$76*E165,BE165),0)</f>
        <v>0</v>
      </c>
      <c r="BG165" s="40" t="n">
        <f aca="false">-O165+BF165*'Assumptions &amp; Data'!$C$63/'Assumptions &amp; Data'!$C$85*($B$12-'Assumptions &amp; Data'!$C$71)/100000</f>
        <v>-4.00854037512132</v>
      </c>
      <c r="BH165" s="40" t="n">
        <f aca="false">(AS165*AP165*BY165*'Assumptions &amp; Data'!$C$82+K165*(BN165*100000/K165)*'Assumptions &amp; Data'!$C$80*(1-'Assumptions &amp; Data'!$C$81)+AP165*'Assumptions &amp; Data'!$C$83)/100000</f>
        <v>7.173408</v>
      </c>
      <c r="BI165" s="40" t="n">
        <f aca="false">'Assumptions &amp; Data'!L201*MAX(0,1-D165/'Assumptions &amp; Data'!$C$84)</f>
        <v>106.857142857143</v>
      </c>
      <c r="BJ165" s="40" t="n">
        <f aca="false">IF(BG165&gt;0,BH165/BG165,99)</f>
        <v>99</v>
      </c>
      <c r="BK165" s="2" t="str">
        <f aca="false">IF(AND(P165&gt;='Assumptions &amp; Data'!$C$65,R165&gt;=0,W165&gt;='Assumptions &amp; Data'!$C$66),"Scale",IF(OR(O165&gt;=0,AX165&gt;=0),"Optimise",IF(BA165&gt;=0,"Turn around",IF(BB165&gt;=0,"Relocate or resize",IF(AND(BF165&gt;0,BJ165&lt;='Assumptions &amp; Data'!$C$75,D165&gt;='Assumptions &amp; Data'!$C$64),"Close","Relocate or resize")))))</f>
        <v>Scale</v>
      </c>
      <c r="BL165" s="42" t="str">
        <f aca="false">INDEX($BK$106:$BK$165,MATCH(BC165,$A$106:$A$165,0))</f>
        <v>Optimise</v>
      </c>
      <c r="BM165" s="42" t="str">
        <f aca="false">IF(RANK(P165,$P$106:$P$165)&lt;=ROUND(COUNT($P$106:$P$165)/4,0),"Q1 top",IF(RANK(P165,$P$106:$P$165)&gt;COUNT($P$106:$P$165)-ROUND(COUNT($P$106:$P$165)/4,0),"Q4 bottom","Q2-Q3 middle"))</f>
        <v>Q2-Q3 middle</v>
      </c>
      <c r="BN165" s="40" t="n">
        <f aca="false">SUMIFS('Financial Analysis'!$R$71:$R$790,'Financial Analysis'!$B$71:$B$790,$A165,'Financial Analysis'!$C$71:$C$790,"&gt;="&amp;'Assumptions &amp; Data'!$C$62)/'Assumptions &amp; Data'!$C$85/100000</f>
        <v>2.63712</v>
      </c>
      <c r="BO165" s="40" t="n">
        <f aca="false">SUMIFS('Financial Analysis'!$H$71:$H$790,'Financial Analysis'!$B$71:$B$790,$A165,'Financial Analysis'!$C$71:$C$790,"&gt;="&amp;'Assumptions &amp; Data'!$C$62)/SUMIFS('Financial Analysis'!$E$71:$E$790,'Financial Analysis'!$B$71:$B$790,$A165,'Financial Analysis'!$C$71:$C$790,"&gt;="&amp;'Assumptions &amp; Data'!$C$62)</f>
        <v>568.661899705427</v>
      </c>
      <c r="BP165" s="40" t="n">
        <f aca="false">(SUMIFS('Financial Analysis'!$I$71:$I$790,'Financial Analysis'!$B$71:$B$790,$A165,'Financial Analysis'!$C$71:$C$790,"&gt;="&amp;'Assumptions &amp; Data'!$C$62)+SUMIFS('Financial Analysis'!$J$71:$J$790,'Financial Analysis'!$B$71:$B$790,$A165,'Financial Analysis'!$C$71:$C$790,"&gt;="&amp;'Assumptions &amp; Data'!$C$62)+SUMIFS('Financial Analysis'!$K$71:$K$790,'Financial Analysis'!$B$71:$B$790,$A165,'Financial Analysis'!$C$71:$C$790,"&gt;="&amp;'Assumptions &amp; Data'!$C$62))/SUMIFS('Financial Analysis'!$E$71:$E$790,'Financial Analysis'!$B$71:$B$790,$A165,'Financial Analysis'!$C$71:$C$790,"&gt;="&amp;'Assumptions &amp; Data'!$C$62)</f>
        <v>121.067146911074</v>
      </c>
      <c r="BQ165" s="40" t="n">
        <f aca="false">SUMIFS('Financial Analysis'!$L$71:$L$790,'Financial Analysis'!$B$71:$B$790,$A165,'Financial Analysis'!$C$71:$C$790,"&gt;="&amp;'Assumptions &amp; Data'!$C$62)/SUMIFS('Financial Analysis'!$E$71:$E$790,'Financial Analysis'!$B$71:$B$790,$A165,'Financial Analysis'!$C$71:$C$790,"&gt;="&amp;'Assumptions &amp; Data'!$C$62)</f>
        <v>21.1136921147088</v>
      </c>
      <c r="BR165" s="40" t="n">
        <f aca="false">SUMIFS('Financial Analysis'!$L$71:$L$790,'Financial Analysis'!$B$71:$B$790,$A165,'Financial Analysis'!$C$71:$C$790,"&gt;="&amp;'Assumptions &amp; Data'!$C$62)/SUMIFS('Financial Analysis'!$E$71:$E$790,'Financial Analysis'!$B$71:$B$790,$A165,'Financial Analysis'!$C$71:$C$790,"&gt;="&amp;'Assumptions &amp; Data'!$C$62)</f>
        <v>21.1136921147088</v>
      </c>
      <c r="BS165" s="40" t="n">
        <f aca="false">SUMIFS('Financial Analysis'!$N$71:$N$790,'Financial Analysis'!$B$71:$B$790,$A165,'Financial Analysis'!$C$71:$C$790,"&gt;="&amp;'Assumptions &amp; Data'!$C$62)/SUMIFS('Financial Analysis'!$E$71:$E$790,'Financial Analysis'!$B$71:$B$790,$A165,'Financial Analysis'!$C$71:$C$790,"&gt;="&amp;'Assumptions &amp; Data'!$C$62)</f>
        <v>31.3530574612055</v>
      </c>
      <c r="BT165" s="40" t="n">
        <f aca="false">(SUMIFS('Financial Analysis'!$O$71:$O$790,'Financial Analysis'!$B$71:$B$790,$A165,'Financial Analysis'!$C$71:$C$790,"&gt;="&amp;'Assumptions &amp; Data'!$C$62)+SUMIFS('Financial Analysis'!$P$71:$P$790,'Financial Analysis'!$B$71:$B$790,$A165,'Financial Analysis'!$C$71:$C$790,"&gt;="&amp;'Assumptions &amp; Data'!$C$62))/SUMIFS('Financial Analysis'!$E$71:$E$790,'Financial Analysis'!$B$71:$B$790,$A165,'Financial Analysis'!$C$71:$C$790,"&gt;="&amp;'Assumptions &amp; Data'!$C$62)</f>
        <v>14.5814397858729</v>
      </c>
      <c r="BU165" s="40" t="n">
        <f aca="false">SUMIFS('Financial Analysis'!$R$71:$R$790,'Financial Analysis'!$B$71:$B$790,$A165,'Financial Analysis'!$C$71:$C$790,"&gt;="&amp;'Assumptions &amp; Data'!$C$62)/SUMIFS('Financial Analysis'!$E$71:$E$790,'Financial Analysis'!$B$71:$B$790,$A165,'Financial Analysis'!$C$71:$C$790,"&gt;="&amp;'Assumptions &amp; Data'!$C$62)</f>
        <v>12.3632385804254</v>
      </c>
      <c r="BV165" s="40" t="n">
        <f aca="false">SUMIFS('Financial Analysis'!$S$71:$S$790,'Financial Analysis'!$B$71:$B$790,$A165,'Financial Analysis'!$C$71:$C$790,"&gt;="&amp;'Assumptions &amp; Data'!$C$62)/SUMIFS('Financial Analysis'!$E$71:$E$790,'Financial Analysis'!$B$71:$B$790,$A165,'Financial Analysis'!$C$71:$C$790,"&gt;="&amp;'Assumptions &amp; Data'!$C$62)</f>
        <v>8.81373943210764</v>
      </c>
      <c r="BW165" s="40" t="n">
        <f aca="false">(SUMIFS('Financial Analysis'!$T$71:$T$790,'Financial Analysis'!$B$71:$B$790,$A165,'Financial Analysis'!$C$71:$C$790,"&gt;="&amp;'Assumptions &amp; Data'!$C$62)+SUMIFS('Financial Analysis'!$U$71:$U$790,'Financial Analysis'!$B$71:$B$790,$A165,'Financial Analysis'!$C$71:$C$790,"&gt;="&amp;'Assumptions &amp; Data'!$C$62))/SUMIFS('Financial Analysis'!$E$71:$E$790,'Financial Analysis'!$B$71:$B$790,$A165,'Financial Analysis'!$C$71:$C$790,"&gt;="&amp;'Assumptions &amp; Data'!$C$62)</f>
        <v>14.049303808348</v>
      </c>
      <c r="BX165" s="40" t="n">
        <f aca="false">SUMIFS('Financial Analysis'!$V$71:$V$790,'Financial Analysis'!$B$71:$B$790,$A165,'Financial Analysis'!$C$71:$C$790,"&gt;="&amp;'Assumptions &amp; Data'!$C$62)/SUMIFS('Financial Analysis'!$E$71:$E$790,'Financial Analysis'!$B$71:$B$790,$A165,'Financial Analysis'!$C$71:$C$790,"&gt;="&amp;'Assumptions &amp; Data'!$C$62)</f>
        <v>18.7926757284055</v>
      </c>
      <c r="BY165" s="37" t="n">
        <f aca="false">'Assumptions &amp; Data'!J201</f>
        <v>0</v>
      </c>
      <c r="BZ165" s="39" t="str">
        <f aca="false">IF(BK165="Close",COUNTIF($BK$106:BK165,"Close"),"")</f>
        <v/>
      </c>
    </row>
  </sheetData>
  <autoFilter ref="A105:BY165"/>
  <mergeCells count="26">
    <mergeCell ref="C5:G5"/>
    <mergeCell ref="C6:G6"/>
    <mergeCell ref="C7:G7"/>
    <mergeCell ref="C8:G8"/>
    <mergeCell ref="C9:G9"/>
    <mergeCell ref="C10:G10"/>
    <mergeCell ref="C11:G11"/>
    <mergeCell ref="C12:G12"/>
    <mergeCell ref="J15:P15"/>
    <mergeCell ref="J16:P16"/>
    <mergeCell ref="J17:P17"/>
    <mergeCell ref="J18:P18"/>
    <mergeCell ref="J19:P19"/>
    <mergeCell ref="J20:P20"/>
    <mergeCell ref="C72:L72"/>
    <mergeCell ref="C73:L73"/>
    <mergeCell ref="C74:L74"/>
    <mergeCell ref="C75:L75"/>
    <mergeCell ref="C76:L76"/>
    <mergeCell ref="C77:L77"/>
    <mergeCell ref="H86:N86"/>
    <mergeCell ref="H87:N87"/>
    <mergeCell ref="H88:N88"/>
    <mergeCell ref="H89:N89"/>
    <mergeCell ref="H90:N90"/>
    <mergeCell ref="H91:N9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2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9" min="2" style="0" width="12.5"/>
  </cols>
  <sheetData>
    <row r="1" customFormat="false" ht="17.35" hidden="false" customHeight="false" outlineLevel="0" collapsed="false">
      <c r="A1" s="1" t="s">
        <v>1400</v>
      </c>
    </row>
    <row r="2" customFormat="false" ht="15" hidden="false" customHeight="false" outlineLevel="0" collapsed="false">
      <c r="A2" s="3" t="s">
        <v>1401</v>
      </c>
    </row>
    <row r="4" customFormat="false" ht="15" hidden="false" customHeight="false" outlineLevel="0" collapsed="false">
      <c r="A4" s="4" t="s">
        <v>1402</v>
      </c>
    </row>
    <row r="5" customFormat="false" ht="21.75" hidden="false" customHeight="true" outlineLevel="0" collapsed="false">
      <c r="A5" s="5" t="s">
        <v>209</v>
      </c>
      <c r="B5" s="5" t="s">
        <v>210</v>
      </c>
      <c r="C5" s="5" t="s">
        <v>240</v>
      </c>
      <c r="D5" s="5" t="s">
        <v>1403</v>
      </c>
      <c r="E5" s="5" t="s">
        <v>1404</v>
      </c>
      <c r="F5" s="5" t="s">
        <v>211</v>
      </c>
      <c r="G5" s="5"/>
      <c r="H5" s="5"/>
      <c r="I5" s="5"/>
      <c r="J5" s="5"/>
      <c r="K5" s="5"/>
    </row>
    <row r="6" customFormat="false" ht="15" hidden="false" customHeight="false" outlineLevel="0" collapsed="false">
      <c r="A6" s="12" t="s">
        <v>1405</v>
      </c>
      <c r="B6" s="12" t="s">
        <v>226</v>
      </c>
      <c r="C6" s="15" t="n">
        <v>0.5</v>
      </c>
      <c r="D6" s="15" t="n">
        <v>0.7</v>
      </c>
      <c r="E6" s="15" t="n">
        <v>0.85</v>
      </c>
      <c r="F6" s="51" t="s">
        <v>1406</v>
      </c>
      <c r="G6" s="51"/>
      <c r="H6" s="51"/>
      <c r="I6" s="51"/>
      <c r="J6" s="51"/>
      <c r="K6" s="51"/>
    </row>
    <row r="7" customFormat="false" ht="15" hidden="false" customHeight="false" outlineLevel="0" collapsed="false">
      <c r="A7" s="12" t="s">
        <v>1407</v>
      </c>
      <c r="B7" s="12" t="s">
        <v>236</v>
      </c>
      <c r="C7" s="15" t="n">
        <v>0.015</v>
      </c>
      <c r="D7" s="15" t="n">
        <v>0.01</v>
      </c>
      <c r="E7" s="15" t="n">
        <v>0.007</v>
      </c>
      <c r="F7" s="51" t="s">
        <v>1408</v>
      </c>
      <c r="G7" s="51"/>
      <c r="H7" s="51"/>
      <c r="I7" s="51"/>
      <c r="J7" s="51"/>
      <c r="K7" s="51"/>
    </row>
    <row r="8" customFormat="false" ht="15" hidden="false" customHeight="false" outlineLevel="0" collapsed="false">
      <c r="A8" s="12" t="s">
        <v>1409</v>
      </c>
      <c r="B8" s="12" t="s">
        <v>226</v>
      </c>
      <c r="C8" s="15" t="n">
        <v>0.4</v>
      </c>
      <c r="D8" s="15" t="n">
        <v>0.6</v>
      </c>
      <c r="E8" s="15" t="n">
        <v>0.75</v>
      </c>
      <c r="F8" s="51" t="s">
        <v>1410</v>
      </c>
      <c r="G8" s="51"/>
      <c r="H8" s="51"/>
      <c r="I8" s="51"/>
      <c r="J8" s="51"/>
      <c r="K8" s="51"/>
    </row>
    <row r="9" customFormat="false" ht="15" hidden="false" customHeight="false" outlineLevel="0" collapsed="false">
      <c r="A9" s="12" t="s">
        <v>1411</v>
      </c>
      <c r="B9" s="12" t="s">
        <v>226</v>
      </c>
      <c r="C9" s="15" t="n">
        <v>0.4</v>
      </c>
      <c r="D9" s="15" t="n">
        <v>0.6</v>
      </c>
      <c r="E9" s="15" t="n">
        <v>0.75</v>
      </c>
      <c r="F9" s="51" t="s">
        <v>1412</v>
      </c>
      <c r="G9" s="51"/>
      <c r="H9" s="51"/>
      <c r="I9" s="51"/>
      <c r="J9" s="51"/>
      <c r="K9" s="51"/>
    </row>
    <row r="10" customFormat="false" ht="15" hidden="false" customHeight="false" outlineLevel="0" collapsed="false">
      <c r="A10" s="12" t="s">
        <v>1413</v>
      </c>
      <c r="B10" s="12" t="s">
        <v>226</v>
      </c>
      <c r="C10" s="15" t="n">
        <v>0.3</v>
      </c>
      <c r="D10" s="15" t="n">
        <v>0.5</v>
      </c>
      <c r="E10" s="15" t="n">
        <v>0.65</v>
      </c>
      <c r="F10" s="51" t="s">
        <v>1414</v>
      </c>
      <c r="G10" s="51"/>
      <c r="H10" s="51"/>
      <c r="I10" s="51"/>
      <c r="J10" s="51"/>
      <c r="K10" s="51"/>
    </row>
    <row r="11" customFormat="false" ht="15" hidden="false" customHeight="false" outlineLevel="0" collapsed="false">
      <c r="A11" s="12" t="s">
        <v>1415</v>
      </c>
      <c r="B11" s="12" t="s">
        <v>226</v>
      </c>
      <c r="C11" s="15" t="n">
        <v>0.3</v>
      </c>
      <c r="D11" s="15" t="n">
        <v>0.5</v>
      </c>
      <c r="E11" s="15" t="n">
        <v>0.7</v>
      </c>
      <c r="F11" s="51" t="s">
        <v>1416</v>
      </c>
      <c r="G11" s="51"/>
      <c r="H11" s="51"/>
      <c r="I11" s="51"/>
      <c r="J11" s="51"/>
      <c r="K11" s="51"/>
    </row>
    <row r="12" customFormat="false" ht="15" hidden="false" customHeight="false" outlineLevel="0" collapsed="false">
      <c r="A12" s="12" t="s">
        <v>1417</v>
      </c>
      <c r="B12" s="12" t="s">
        <v>222</v>
      </c>
      <c r="C12" s="14" t="n">
        <v>12</v>
      </c>
      <c r="D12" s="14" t="n">
        <v>24</v>
      </c>
      <c r="E12" s="14" t="n">
        <v>36</v>
      </c>
      <c r="F12" s="51" t="s">
        <v>1418</v>
      </c>
      <c r="G12" s="51"/>
      <c r="H12" s="51"/>
      <c r="I12" s="51"/>
      <c r="J12" s="51"/>
      <c r="K12" s="51"/>
    </row>
    <row r="13" customFormat="false" ht="15" hidden="false" customHeight="false" outlineLevel="0" collapsed="false">
      <c r="A13" s="12" t="s">
        <v>1419</v>
      </c>
      <c r="B13" s="12" t="s">
        <v>1420</v>
      </c>
      <c r="C13" s="15" t="n">
        <v>0.45</v>
      </c>
      <c r="D13" s="15" t="n">
        <v>0.6</v>
      </c>
      <c r="E13" s="15" t="n">
        <v>0.7</v>
      </c>
      <c r="F13" s="51" t="s">
        <v>1421</v>
      </c>
      <c r="G13" s="51"/>
      <c r="H13" s="51"/>
      <c r="I13" s="51"/>
      <c r="J13" s="51"/>
      <c r="K13" s="51"/>
    </row>
    <row r="14" customFormat="false" ht="15" hidden="false" customHeight="false" outlineLevel="0" collapsed="false">
      <c r="A14" s="12" t="s">
        <v>1422</v>
      </c>
      <c r="B14" s="12" t="s">
        <v>226</v>
      </c>
      <c r="C14" s="15" t="n">
        <v>0.12</v>
      </c>
      <c r="D14" s="15" t="n">
        <v>0.08</v>
      </c>
      <c r="E14" s="15" t="n">
        <v>0.05</v>
      </c>
      <c r="F14" s="51" t="s">
        <v>1423</v>
      </c>
      <c r="G14" s="51"/>
      <c r="H14" s="51"/>
      <c r="I14" s="51"/>
      <c r="J14" s="51"/>
      <c r="K14" s="51"/>
    </row>
    <row r="15" customFormat="false" ht="15" hidden="false" customHeight="false" outlineLevel="0" collapsed="false">
      <c r="A15" s="12" t="s">
        <v>1424</v>
      </c>
      <c r="B15" s="12" t="s">
        <v>226</v>
      </c>
      <c r="C15" s="15" t="n">
        <v>0.25</v>
      </c>
      <c r="D15" s="15" t="n">
        <v>0.1</v>
      </c>
      <c r="E15" s="15" t="n">
        <v>0</v>
      </c>
      <c r="F15" s="51" t="s">
        <v>1425</v>
      </c>
      <c r="G15" s="51"/>
      <c r="H15" s="51"/>
      <c r="I15" s="51"/>
      <c r="J15" s="51"/>
      <c r="K15" s="51"/>
    </row>
    <row r="16" customFormat="false" ht="15" hidden="false" customHeight="false" outlineLevel="0" collapsed="false">
      <c r="A16" s="12" t="s">
        <v>1426</v>
      </c>
      <c r="B16" s="12" t="s">
        <v>226</v>
      </c>
      <c r="C16" s="15" t="n">
        <v>0.4</v>
      </c>
      <c r="D16" s="15" t="n">
        <v>0.3</v>
      </c>
      <c r="E16" s="15" t="n">
        <v>0.2</v>
      </c>
      <c r="F16" s="51" t="s">
        <v>1427</v>
      </c>
      <c r="G16" s="51"/>
      <c r="H16" s="51"/>
      <c r="I16" s="51"/>
      <c r="J16" s="51"/>
      <c r="K16" s="51"/>
    </row>
    <row r="17" customFormat="false" ht="15" hidden="false" customHeight="false" outlineLevel="0" collapsed="false">
      <c r="A17" s="12" t="s">
        <v>1428</v>
      </c>
      <c r="B17" s="12" t="s">
        <v>284</v>
      </c>
      <c r="C17" s="14" t="n">
        <v>450</v>
      </c>
      <c r="D17" s="14" t="n">
        <v>450</v>
      </c>
      <c r="E17" s="14" t="n">
        <v>450</v>
      </c>
      <c r="F17" s="51" t="s">
        <v>276</v>
      </c>
      <c r="G17" s="51"/>
      <c r="H17" s="51"/>
      <c r="I17" s="51"/>
      <c r="J17" s="51"/>
      <c r="K17" s="51"/>
    </row>
    <row r="20" customFormat="false" ht="15" hidden="false" customHeight="false" outlineLevel="0" collapsed="false">
      <c r="A20" s="4" t="s">
        <v>1429</v>
      </c>
    </row>
    <row r="21" customFormat="false" ht="21.75" hidden="false" customHeight="true" outlineLevel="0" collapsed="false">
      <c r="A21" s="5" t="s">
        <v>1430</v>
      </c>
      <c r="B21" s="5" t="s">
        <v>210</v>
      </c>
      <c r="C21" s="5" t="s">
        <v>240</v>
      </c>
      <c r="D21" s="5" t="s">
        <v>1403</v>
      </c>
      <c r="E21" s="5" t="s">
        <v>1404</v>
      </c>
      <c r="F21" s="5" t="s">
        <v>1431</v>
      </c>
      <c r="G21" s="5"/>
      <c r="H21" s="5"/>
      <c r="I21" s="5"/>
      <c r="J21" s="5"/>
      <c r="K21" s="5"/>
    </row>
    <row r="22" customFormat="false" ht="15" hidden="false" customHeight="false" outlineLevel="0" collapsed="false">
      <c r="A22" s="12" t="s">
        <v>1432</v>
      </c>
      <c r="B22" s="12" t="s">
        <v>1433</v>
      </c>
      <c r="C22" s="19" t="n">
        <f aca="false">SUM($C$176:$C$235)</f>
        <v>191.813244115143</v>
      </c>
      <c r="D22" s="19" t="n">
        <f aca="false">SUM($C$176:$C$235)</f>
        <v>191.813244115143</v>
      </c>
      <c r="E22" s="19" t="n">
        <f aca="false">SUM($C$176:$C$235)</f>
        <v>191.813244115143</v>
      </c>
      <c r="F22" s="51" t="s">
        <v>1434</v>
      </c>
      <c r="G22" s="51"/>
      <c r="H22" s="51"/>
      <c r="I22" s="51"/>
      <c r="J22" s="51"/>
      <c r="K22" s="51"/>
    </row>
    <row r="23" customFormat="false" ht="15" hidden="false" customHeight="false" outlineLevel="0" collapsed="false">
      <c r="A23" s="12" t="s">
        <v>1435</v>
      </c>
      <c r="B23" s="12" t="s">
        <v>1433</v>
      </c>
      <c r="C23" s="19" t="n">
        <f aca="false">$C$6*(SUMPRODUCT((1-$X$176:$X$235)*$D$176:$D$235)-$C$7*SUMPRODUCT((1-$X$176:$X$235)*$E$176:$E$235))</f>
        <v>25.2217235203217</v>
      </c>
      <c r="D23" s="19" t="n">
        <f aca="false">$D$6*(SUMPRODUCT((1-$AD$176:$AD$235)*$D$176:$D$235)-$D$7*SUMPRODUCT((1-$AD$176:$AD$235)*$E$176:$E$235))</f>
        <v>37.1158648380998</v>
      </c>
      <c r="E23" s="19" t="n">
        <f aca="false">$E$6*(SUMPRODUCT((1-$AJ$176:$AJ$235)*$D$176:$D$235)-$E$7*SUMPRODUCT((1-$AJ$176:$AJ$235)*$E$176:$E$235))</f>
        <v>46.3846651232944</v>
      </c>
      <c r="F23" s="51" t="s">
        <v>1436</v>
      </c>
      <c r="G23" s="51"/>
      <c r="H23" s="51"/>
      <c r="I23" s="51"/>
      <c r="J23" s="51"/>
      <c r="K23" s="51"/>
    </row>
    <row r="24" customFormat="false" ht="15" hidden="false" customHeight="false" outlineLevel="0" collapsed="false">
      <c r="A24" s="12" t="s">
        <v>1437</v>
      </c>
      <c r="B24" s="12" t="s">
        <v>1433</v>
      </c>
      <c r="C24" s="19" t="n">
        <f aca="false">$C$8*SUMPRODUCT((1-$X$176:$X$235)*$F$176:$F$235)</f>
        <v>18.644579316934</v>
      </c>
      <c r="D24" s="19" t="n">
        <f aca="false">$D$8*SUMPRODUCT((1-$AD$176:$AD$235)*$F$176:$F$235)</f>
        <v>27.966868975401</v>
      </c>
      <c r="E24" s="19" t="n">
        <f aca="false">$E$8*SUMPRODUCT((1-$AJ$176:$AJ$235)*$F$176:$F$235)</f>
        <v>34.9585862192513</v>
      </c>
      <c r="F24" s="51" t="s">
        <v>1438</v>
      </c>
      <c r="G24" s="51"/>
      <c r="H24" s="51"/>
      <c r="I24" s="51"/>
      <c r="J24" s="51"/>
      <c r="K24" s="51"/>
    </row>
    <row r="25" customFormat="false" ht="15" hidden="false" customHeight="false" outlineLevel="0" collapsed="false">
      <c r="A25" s="12" t="s">
        <v>1439</v>
      </c>
      <c r="B25" s="12" t="s">
        <v>1433</v>
      </c>
      <c r="C25" s="19" t="n">
        <f aca="false">$C$9*SUMPRODUCT((1-$X$176:$X$235)*$G$176:$G$235)</f>
        <v>11.2327508888701</v>
      </c>
      <c r="D25" s="19" t="n">
        <f aca="false">$D$9*SUMPRODUCT((1-$AD$176:$AD$235)*$G$176:$G$235)</f>
        <v>16.8491263333051</v>
      </c>
      <c r="E25" s="19" t="n">
        <f aca="false">$E$9*SUMPRODUCT((1-$AJ$176:$AJ$235)*$G$176:$G$235)</f>
        <v>21.0614079166314</v>
      </c>
      <c r="F25" s="51" t="s">
        <v>1440</v>
      </c>
      <c r="G25" s="51"/>
      <c r="H25" s="51"/>
      <c r="I25" s="51"/>
      <c r="J25" s="51"/>
      <c r="K25" s="51"/>
    </row>
    <row r="26" customFormat="false" ht="15" hidden="false" customHeight="false" outlineLevel="0" collapsed="false">
      <c r="A26" s="12" t="s">
        <v>1441</v>
      </c>
      <c r="B26" s="12" t="s">
        <v>1433</v>
      </c>
      <c r="C26" s="19" t="n">
        <f aca="false">$C$10*SUMPRODUCT((1-$X$176:$X$235)*$H$176:$H$235)</f>
        <v>8.70036974657908</v>
      </c>
      <c r="D26" s="19" t="n">
        <f aca="false">$D$10*SUMPRODUCT((1-$AD$176:$AD$235)*$H$176:$H$235)</f>
        <v>14.5006162442985</v>
      </c>
      <c r="E26" s="19" t="n">
        <f aca="false">$E$10*SUMPRODUCT((1-$AJ$176:$AJ$235)*$H$176:$H$235)</f>
        <v>18.850801117588</v>
      </c>
      <c r="F26" s="51" t="s">
        <v>1442</v>
      </c>
      <c r="G26" s="51"/>
      <c r="H26" s="51"/>
      <c r="I26" s="51"/>
      <c r="J26" s="51"/>
      <c r="K26" s="51"/>
    </row>
    <row r="27" customFormat="false" ht="15" hidden="false" customHeight="false" outlineLevel="0" collapsed="false">
      <c r="A27" s="12" t="s">
        <v>1443</v>
      </c>
      <c r="B27" s="12" t="s">
        <v>1433</v>
      </c>
      <c r="C27" s="19" t="n">
        <f aca="false">$C$11*SUMPRODUCT((1-$X$176:$X$235)*$I$176:$I$235)</f>
        <v>11.2208754724593</v>
      </c>
      <c r="D27" s="19" t="n">
        <f aca="false">$D$11*SUMPRODUCT((1-$AD$176:$AD$235)*$I$176:$I$235)</f>
        <v>18.7014591207655</v>
      </c>
      <c r="E27" s="19" t="n">
        <f aca="false">$E$11*SUMPRODUCT((1-$AJ$176:$AJ$235)*$I$176:$I$235)</f>
        <v>26.1820427690717</v>
      </c>
      <c r="F27" s="51" t="s">
        <v>1444</v>
      </c>
      <c r="G27" s="51"/>
      <c r="H27" s="51"/>
      <c r="I27" s="51"/>
      <c r="J27" s="51"/>
      <c r="K27" s="51"/>
    </row>
    <row r="28" customFormat="false" ht="15" hidden="false" customHeight="false" outlineLevel="0" collapsed="false">
      <c r="A28" s="12" t="s">
        <v>1445</v>
      </c>
      <c r="B28" s="12" t="s">
        <v>1433</v>
      </c>
      <c r="C28" s="19" t="n">
        <f aca="false">-$C$14*SUM(C23:C27)</f>
        <v>-9.00243587341969</v>
      </c>
      <c r="D28" s="19" t="n">
        <f aca="false">-$D$14*SUM(D23:D27)</f>
        <v>-9.21071484094959</v>
      </c>
      <c r="E28" s="19" t="n">
        <f aca="false">-$E$14*SUM(E23:E27)</f>
        <v>-7.37187515729184</v>
      </c>
      <c r="F28" s="51" t="s">
        <v>1446</v>
      </c>
      <c r="G28" s="51"/>
      <c r="H28" s="51"/>
      <c r="I28" s="51"/>
      <c r="J28" s="51"/>
      <c r="K28" s="51"/>
    </row>
    <row r="29" customFormat="false" ht="15" hidden="false" customHeight="false" outlineLevel="0" collapsed="false">
      <c r="A29" s="12" t="s">
        <v>1447</v>
      </c>
      <c r="B29" s="12" t="s">
        <v>1433</v>
      </c>
      <c r="C29" s="19" t="n">
        <f aca="false">SUMPRODUCT($X$176:$X$235*$V$176:$V$235)</f>
        <v>21.2649256930281</v>
      </c>
      <c r="D29" s="19" t="n">
        <f aca="false">SUMPRODUCT($AD$176:$AD$235*$AB$176:$AB$235)</f>
        <v>23.8672337210521</v>
      </c>
      <c r="E29" s="19" t="n">
        <f aca="false">SUMPRODUCT($AJ$176:$AJ$235*$AH$176:$AH$235)</f>
        <v>24.6595705209691</v>
      </c>
      <c r="F29" s="51" t="s">
        <v>1448</v>
      </c>
      <c r="G29" s="51"/>
      <c r="H29" s="51"/>
      <c r="I29" s="51"/>
      <c r="J29" s="51"/>
      <c r="K29" s="51"/>
    </row>
    <row r="30" customFormat="false" ht="15" hidden="false" customHeight="false" outlineLevel="0" collapsed="false">
      <c r="A30" s="12" t="s">
        <v>1449</v>
      </c>
      <c r="B30" s="12" t="s">
        <v>1433</v>
      </c>
      <c r="C30" s="19" t="n">
        <f aca="false">-C68</f>
        <v>-5.8</v>
      </c>
      <c r="D30" s="19" t="n">
        <f aca="false">-D68</f>
        <v>-5.8</v>
      </c>
      <c r="E30" s="19" t="n">
        <f aca="false">-E68</f>
        <v>-5.8</v>
      </c>
      <c r="F30" s="51" t="s">
        <v>1450</v>
      </c>
      <c r="G30" s="51"/>
      <c r="H30" s="51"/>
      <c r="I30" s="51"/>
      <c r="J30" s="51"/>
      <c r="K30" s="51"/>
    </row>
    <row r="31" customFormat="false" ht="15" hidden="false" customHeight="false" outlineLevel="0" collapsed="false">
      <c r="A31" s="6" t="s">
        <v>1451</v>
      </c>
      <c r="B31" s="12" t="s">
        <v>1433</v>
      </c>
      <c r="C31" s="21" t="n">
        <f aca="false">SUM(C23:C30)</f>
        <v>81.4827887647725</v>
      </c>
      <c r="D31" s="21" t="n">
        <f aca="false">SUM(D23:D30)</f>
        <v>123.990454391972</v>
      </c>
      <c r="E31" s="21" t="n">
        <f aca="false">SUM(E23:E30)</f>
        <v>158.925198509514</v>
      </c>
      <c r="F31" s="51" t="s">
        <v>1452</v>
      </c>
      <c r="G31" s="51"/>
      <c r="H31" s="51"/>
      <c r="I31" s="51"/>
      <c r="J31" s="51"/>
      <c r="K31" s="51"/>
    </row>
    <row r="32" customFormat="false" ht="15" hidden="false" customHeight="false" outlineLevel="0" collapsed="false">
      <c r="A32" s="6" t="s">
        <v>1453</v>
      </c>
      <c r="B32" s="12" t="s">
        <v>1454</v>
      </c>
      <c r="C32" s="52" t="n">
        <f aca="false">C31*12/100</f>
        <v>9.7779346517727</v>
      </c>
      <c r="D32" s="52" t="n">
        <f aca="false">D31*12/100</f>
        <v>14.8788545270367</v>
      </c>
      <c r="E32" s="52" t="n">
        <f aca="false">E31*12/100</f>
        <v>19.0710238211417</v>
      </c>
      <c r="F32" s="51" t="s">
        <v>1455</v>
      </c>
      <c r="G32" s="51"/>
      <c r="H32" s="51"/>
      <c r="I32" s="51"/>
      <c r="J32" s="51"/>
      <c r="K32" s="51"/>
    </row>
    <row r="33" customFormat="false" ht="15" hidden="false" customHeight="false" outlineLevel="0" collapsed="false">
      <c r="A33" s="6" t="s">
        <v>1456</v>
      </c>
      <c r="B33" s="12" t="s">
        <v>1433</v>
      </c>
      <c r="C33" s="21" t="n">
        <f aca="false">C22+C31</f>
        <v>273.296032879916</v>
      </c>
      <c r="D33" s="21" t="n">
        <f aca="false">D22+D31</f>
        <v>315.803698507116</v>
      </c>
      <c r="E33" s="21" t="n">
        <f aca="false">E22+E31</f>
        <v>350.738442624657</v>
      </c>
      <c r="F33" s="51" t="s">
        <v>1457</v>
      </c>
      <c r="G33" s="51"/>
      <c r="H33" s="51"/>
      <c r="I33" s="51"/>
      <c r="J33" s="51"/>
      <c r="K33" s="51"/>
    </row>
    <row r="34" customFormat="false" ht="15" hidden="false" customHeight="false" outlineLevel="0" collapsed="false">
      <c r="A34" s="12" t="s">
        <v>1458</v>
      </c>
      <c r="B34" s="12" t="s">
        <v>1454</v>
      </c>
      <c r="C34" s="35" t="n">
        <f aca="false">C33*12/100</f>
        <v>32.7955239455899</v>
      </c>
      <c r="D34" s="35" t="n">
        <f aca="false">D33*12/100</f>
        <v>37.8964438208539</v>
      </c>
      <c r="E34" s="35" t="n">
        <f aca="false">E33*12/100</f>
        <v>42.0886131149589</v>
      </c>
      <c r="F34" s="51"/>
      <c r="G34" s="51"/>
      <c r="H34" s="51"/>
      <c r="I34" s="51"/>
      <c r="J34" s="51"/>
      <c r="K34" s="51"/>
    </row>
    <row r="35" customFormat="false" ht="15" hidden="false" customHeight="false" outlineLevel="0" collapsed="false">
      <c r="A35" s="12" t="s">
        <v>1459</v>
      </c>
      <c r="B35" s="12" t="s">
        <v>1433</v>
      </c>
      <c r="C35" s="19" t="n">
        <f aca="false">SUM($M$176:$M$235)</f>
        <v>10520.2527962308</v>
      </c>
      <c r="D35" s="19" t="n">
        <f aca="false">SUM($M$176:$M$235)</f>
        <v>10520.2527962308</v>
      </c>
      <c r="E35" s="19" t="n">
        <f aca="false">SUM($M$176:$M$235)</f>
        <v>10520.2527962308</v>
      </c>
      <c r="F35" s="51"/>
      <c r="G35" s="51"/>
      <c r="H35" s="51"/>
      <c r="I35" s="51"/>
      <c r="J35" s="51"/>
      <c r="K35" s="51"/>
    </row>
    <row r="36" customFormat="false" ht="15" hidden="false" customHeight="false" outlineLevel="0" collapsed="false">
      <c r="A36" s="12" t="s">
        <v>1460</v>
      </c>
      <c r="B36" s="12" t="s">
        <v>1433</v>
      </c>
      <c r="C36" s="19" t="n">
        <f aca="false">$C$6*SUMPRODUCT((1-$X$176:$X$235)*$D$176:$D$235)-$C$6*$C$7*SUMPRODUCT((1-$X$176:$X$235)*$N$176:$N$235)-SUMPRODUCT($X$176:$X$235*$M$176:$M$235)*(1-$C$13*0)+SUMPRODUCT($X$176:$X$235*$U$176:$U$235/$L$176:$L$235*$M$176:$M$235)</f>
        <v>-143.243736439545</v>
      </c>
      <c r="D36" s="19" t="n">
        <f aca="false">$D$6*SUMPRODUCT((1-$AD$176:$AD$235)*$D$176:$D$235)-$D$6*$D$7*SUMPRODUCT((1-$AD$176:$AD$235)*$N$176:$N$235)-SUMPRODUCT($AD$176:$AD$235*$M$176:$M$235)*(1-$D$13*0)+SUMPRODUCT($AD$176:$AD$235*$AA$176:$AA$235/$L$176:$L$235*$M$176:$M$235)</f>
        <v>-100.554705632765</v>
      </c>
      <c r="E36" s="19" t="n">
        <f aca="false">$E$6*SUMPRODUCT((1-$AJ$176:$AJ$235)*$D$176:$D$235)-$E$6*$E$7*SUMPRODUCT((1-$AJ$176:$AJ$235)*$N$176:$N$235)-SUMPRODUCT($AJ$176:$AJ$235*$M$176:$M$235)*(1-$E$13*0)+SUMPRODUCT($AJ$176:$AJ$235*$AG$176:$AG$235/$L$176:$L$235*$M$176:$M$235)</f>
        <v>-78.1454493637801</v>
      </c>
      <c r="F36" s="51" t="s">
        <v>1461</v>
      </c>
      <c r="G36" s="51"/>
      <c r="H36" s="51"/>
      <c r="I36" s="51"/>
      <c r="J36" s="51"/>
      <c r="K36" s="51"/>
    </row>
    <row r="37" customFormat="false" ht="15" hidden="false" customHeight="false" outlineLevel="0" collapsed="false">
      <c r="A37" s="12" t="s">
        <v>1462</v>
      </c>
      <c r="B37" s="12" t="s">
        <v>226</v>
      </c>
      <c r="C37" s="20" t="n">
        <f aca="false">C22/C35</f>
        <v>0.018232759975489</v>
      </c>
      <c r="D37" s="20" t="n">
        <f aca="false">D22/D35</f>
        <v>0.018232759975489</v>
      </c>
      <c r="E37" s="20" t="n">
        <f aca="false">E22/E35</f>
        <v>0.018232759975489</v>
      </c>
      <c r="F37" s="51"/>
      <c r="G37" s="51"/>
      <c r="H37" s="51"/>
      <c r="I37" s="51"/>
      <c r="J37" s="51"/>
      <c r="K37" s="51"/>
    </row>
    <row r="38" customFormat="false" ht="15" hidden="false" customHeight="false" outlineLevel="0" collapsed="false">
      <c r="A38" s="12" t="s">
        <v>1463</v>
      </c>
      <c r="B38" s="12" t="s">
        <v>226</v>
      </c>
      <c r="C38" s="20" t="n">
        <f aca="false">C33/(C35+C36)</f>
        <v>0.0263366863520318</v>
      </c>
      <c r="D38" s="20" t="n">
        <f aca="false">D33/(D35+D36)</f>
        <v>0.0303083348251781</v>
      </c>
      <c r="E38" s="20" t="n">
        <f aca="false">E33/(E35+E36)</f>
        <v>0.0335888562503515</v>
      </c>
      <c r="F38" s="51"/>
      <c r="G38" s="51"/>
      <c r="H38" s="51"/>
      <c r="I38" s="51"/>
      <c r="J38" s="51"/>
      <c r="K38" s="51"/>
    </row>
    <row r="39" customFormat="false" ht="15" hidden="false" customHeight="false" outlineLevel="0" collapsed="false">
      <c r="A39" s="12" t="s">
        <v>1464</v>
      </c>
      <c r="B39" s="12" t="s">
        <v>128</v>
      </c>
      <c r="C39" s="32" t="n">
        <f aca="false">SUM($X$176:$X$235)</f>
        <v>2</v>
      </c>
      <c r="D39" s="32" t="n">
        <f aca="false">SUM($AD$176:$AD$235)</f>
        <v>2</v>
      </c>
      <c r="E39" s="32" t="n">
        <f aca="false">SUM($AJ$176:$AJ$235)</f>
        <v>2</v>
      </c>
      <c r="F39" s="51"/>
      <c r="G39" s="51"/>
      <c r="H39" s="51"/>
      <c r="I39" s="51"/>
      <c r="J39" s="51"/>
      <c r="K39" s="51"/>
    </row>
    <row r="40" customFormat="false" ht="15" hidden="false" customHeight="false" outlineLevel="0" collapsed="false">
      <c r="A40" s="12" t="s">
        <v>1465</v>
      </c>
      <c r="B40" s="12" t="s">
        <v>128</v>
      </c>
      <c r="C40" s="32" t="n">
        <f aca="false">COUNTIF($Z$176:$Z$235,"&lt;0")</f>
        <v>19</v>
      </c>
      <c r="D40" s="32" t="n">
        <f aca="false">COUNTIF($AF$176:$AF$235,"&lt;0")</f>
        <v>17</v>
      </c>
      <c r="E40" s="32" t="n">
        <f aca="false">COUNTIF($AL$176:$AL$235,"&lt;0")</f>
        <v>14</v>
      </c>
      <c r="F40" s="51" t="s">
        <v>1466</v>
      </c>
      <c r="G40" s="51"/>
      <c r="H40" s="51"/>
      <c r="I40" s="51"/>
      <c r="J40" s="51"/>
      <c r="K40" s="51"/>
    </row>
    <row r="41" customFormat="false" ht="15" hidden="false" customHeight="false" outlineLevel="0" collapsed="false">
      <c r="A41" s="12" t="s">
        <v>1467</v>
      </c>
      <c r="B41" s="12" t="s">
        <v>128</v>
      </c>
      <c r="C41" s="32" t="n">
        <f aca="false">COUNTIF($C$176:$C$235,"&lt;0")</f>
        <v>22</v>
      </c>
      <c r="D41" s="32" t="n">
        <f aca="false">COUNTIF($C$176:$C$235,"&lt;0")</f>
        <v>22</v>
      </c>
      <c r="E41" s="32" t="n">
        <f aca="false">COUNTIF($C$176:$C$235,"&lt;0")</f>
        <v>22</v>
      </c>
      <c r="F41" s="51"/>
      <c r="G41" s="51"/>
      <c r="H41" s="51"/>
      <c r="I41" s="51"/>
      <c r="J41" s="51"/>
      <c r="K41" s="51"/>
    </row>
    <row r="42" customFormat="false" ht="15" hidden="false" customHeight="false" outlineLevel="0" collapsed="false">
      <c r="A42" s="12" t="s">
        <v>1468</v>
      </c>
      <c r="B42" s="12" t="s">
        <v>1469</v>
      </c>
      <c r="C42" s="32" t="n">
        <f aca="false">$C$6*$C$7*SUMPRODUCT((1-$X$176:$X$235)*$N$176:$N$235/$M$176:$M$235*$L$176:$L$235)</f>
        <v>218.60920511817</v>
      </c>
      <c r="D42" s="32" t="n">
        <f aca="false">$D$6*$D$7*SUMPRODUCT((1-$AD$176:$AD$235)*$N$176:$N$235/$M$176:$M$235*$L$176:$L$235)</f>
        <v>204.035258110292</v>
      </c>
      <c r="E42" s="32" t="n">
        <f aca="false">$E$6*$E$7*SUMPRODUCT((1-$AJ$176:$AJ$235)*$N$176:$N$235/$M$176:$M$235*$L$176:$L$235)</f>
        <v>173.429969393748</v>
      </c>
      <c r="F42" s="51" t="s">
        <v>1470</v>
      </c>
      <c r="G42" s="51"/>
      <c r="H42" s="51"/>
      <c r="I42" s="51"/>
      <c r="J42" s="51"/>
      <c r="K42" s="51"/>
    </row>
    <row r="43" customFormat="false" ht="15" hidden="false" customHeight="false" outlineLevel="0" collapsed="false">
      <c r="A43" s="12" t="s">
        <v>1471</v>
      </c>
      <c r="B43" s="12" t="s">
        <v>1160</v>
      </c>
      <c r="C43" s="19" t="n">
        <f aca="false">C62</f>
        <v>292.739008482067</v>
      </c>
      <c r="D43" s="19" t="n">
        <f aca="false">D62</f>
        <v>309.577977974813</v>
      </c>
      <c r="E43" s="19" t="n">
        <f aca="false">E62</f>
        <v>323.197019079314</v>
      </c>
      <c r="F43" s="51" t="s">
        <v>1450</v>
      </c>
      <c r="G43" s="51"/>
      <c r="H43" s="51"/>
      <c r="I43" s="51"/>
      <c r="J43" s="51"/>
      <c r="K43" s="51"/>
    </row>
    <row r="44" customFormat="false" ht="15" hidden="false" customHeight="false" outlineLevel="0" collapsed="false">
      <c r="A44" s="12" t="s">
        <v>1472</v>
      </c>
      <c r="B44" s="12" t="s">
        <v>222</v>
      </c>
      <c r="C44" s="19" t="n">
        <f aca="false">IF(C31&gt;0,C43/C31,99)</f>
        <v>3.59264837298533</v>
      </c>
      <c r="D44" s="19" t="n">
        <f aca="false">IF(D31&gt;0,D43/D31,99)</f>
        <v>2.49678880114546</v>
      </c>
      <c r="E44" s="19" t="n">
        <f aca="false">IF(E31&gt;0,E43/E31,99)</f>
        <v>2.03364238088377</v>
      </c>
      <c r="F44" s="51"/>
      <c r="G44" s="51"/>
      <c r="H44" s="51"/>
      <c r="I44" s="51"/>
      <c r="J44" s="51"/>
      <c r="K44" s="51"/>
    </row>
    <row r="45" customFormat="false" ht="15" hidden="false" customHeight="false" outlineLevel="0" collapsed="false">
      <c r="A45" s="12" t="s">
        <v>1473</v>
      </c>
      <c r="B45" s="12" t="s">
        <v>1474</v>
      </c>
      <c r="C45" s="32" t="n">
        <f aca="false">IF(COUNT(D85:O85)&gt;0,MIN(D85:O85),"&gt; 12")</f>
        <v>8</v>
      </c>
      <c r="D45" s="32" t="n">
        <f aca="false">IF(COUNT(D91:O91)&gt;0,MIN(D91:O91),"&gt; 12")</f>
        <v>7</v>
      </c>
      <c r="E45" s="32" t="n">
        <f aca="false">IF(COUNT(D97:O97)&gt;0,MIN(D97:O97),"&gt; 12")</f>
        <v>6</v>
      </c>
      <c r="F45" s="51" t="s">
        <v>1475</v>
      </c>
      <c r="G45" s="51"/>
      <c r="H45" s="51"/>
      <c r="I45" s="51"/>
      <c r="J45" s="51"/>
      <c r="K45" s="51"/>
    </row>
    <row r="46" customFormat="false" ht="15" hidden="false" customHeight="false" outlineLevel="0" collapsed="false">
      <c r="A46" s="12" t="s">
        <v>1476</v>
      </c>
      <c r="B46" s="12" t="s">
        <v>1477</v>
      </c>
      <c r="C46" s="35" t="n">
        <f aca="false">P83/100</f>
        <v>3.32681477416686</v>
      </c>
      <c r="D46" s="35" t="n">
        <f aca="false">P89/100</f>
        <v>6.579218222663</v>
      </c>
      <c r="E46" s="35" t="n">
        <f aca="false">P95/100</f>
        <v>9.22890501566888</v>
      </c>
      <c r="F46" s="51" t="s">
        <v>1475</v>
      </c>
      <c r="G46" s="51"/>
      <c r="H46" s="51"/>
      <c r="I46" s="51"/>
      <c r="J46" s="51"/>
      <c r="K46" s="51"/>
    </row>
    <row r="47" customFormat="false" ht="15" hidden="false" customHeight="false" outlineLevel="0" collapsed="false">
      <c r="A47" s="12" t="s">
        <v>1478</v>
      </c>
      <c r="B47" s="12" t="s">
        <v>1160</v>
      </c>
      <c r="C47" s="19" t="n">
        <f aca="false">SUMPRODUCT($X$176:$X$235*$R$176:$R$235)</f>
        <v>229.095238095238</v>
      </c>
      <c r="D47" s="19" t="n">
        <f aca="false">SUMPRODUCT($AD$176:$AD$235*$R$176:$R$235)</f>
        <v>229.095238095238</v>
      </c>
      <c r="E47" s="19" t="n">
        <f aca="false">SUMPRODUCT($AJ$176:$AJ$235*$R$176:$R$235)</f>
        <v>229.095238095238</v>
      </c>
      <c r="F47" s="51" t="s">
        <v>1479</v>
      </c>
      <c r="G47" s="51"/>
      <c r="H47" s="51"/>
      <c r="I47" s="51"/>
      <c r="J47" s="51"/>
      <c r="K47" s="51"/>
    </row>
    <row r="52" customFormat="false" ht="15" hidden="false" customHeight="false" outlineLevel="0" collapsed="false">
      <c r="A52" s="4" t="s">
        <v>1480</v>
      </c>
    </row>
    <row r="53" customFormat="false" ht="21.75" hidden="false" customHeight="true" outlineLevel="0" collapsed="false">
      <c r="A53" s="5" t="s">
        <v>1481</v>
      </c>
      <c r="B53" s="5" t="s">
        <v>1211</v>
      </c>
      <c r="C53" s="5" t="s">
        <v>240</v>
      </c>
      <c r="D53" s="5" t="s">
        <v>1403</v>
      </c>
      <c r="E53" s="5" t="s">
        <v>1404</v>
      </c>
      <c r="F53" s="5" t="s">
        <v>1482</v>
      </c>
      <c r="G53" s="53" t="s">
        <v>1483</v>
      </c>
    </row>
    <row r="54" customFormat="false" ht="24" hidden="false" customHeight="true" outlineLevel="0" collapsed="false">
      <c r="A54" s="8" t="s">
        <v>1484</v>
      </c>
      <c r="B54" s="12" t="s">
        <v>1485</v>
      </c>
      <c r="C54" s="19" t="n">
        <f aca="false">$G54*(1+$C$15)</f>
        <v>7.5</v>
      </c>
      <c r="D54" s="19" t="n">
        <f aca="false">$G54*(1+$D$15)</f>
        <v>6.6</v>
      </c>
      <c r="E54" s="19" t="n">
        <f aca="false">$G54*(1+$E$15)</f>
        <v>6</v>
      </c>
      <c r="F54" s="12" t="s">
        <v>1486</v>
      </c>
      <c r="G54" s="16" t="n">
        <v>6</v>
      </c>
    </row>
    <row r="55" customFormat="false" ht="24" hidden="false" customHeight="true" outlineLevel="0" collapsed="false">
      <c r="A55" s="8" t="s">
        <v>1487</v>
      </c>
      <c r="B55" s="12" t="s">
        <v>1485</v>
      </c>
      <c r="C55" s="19" t="n">
        <f aca="false">$G55*(1+$C$15)</f>
        <v>10</v>
      </c>
      <c r="D55" s="19" t="n">
        <f aca="false">$G55*(1+$D$15)</f>
        <v>8.8</v>
      </c>
      <c r="E55" s="19" t="n">
        <f aca="false">$G55*(1+$E$15)</f>
        <v>8</v>
      </c>
      <c r="F55" s="12" t="s">
        <v>1488</v>
      </c>
      <c r="G55" s="16" t="n">
        <v>8</v>
      </c>
    </row>
    <row r="56" customFormat="false" ht="24" hidden="false" customHeight="true" outlineLevel="0" collapsed="false">
      <c r="A56" s="8" t="s">
        <v>1489</v>
      </c>
      <c r="B56" s="12" t="s">
        <v>1485</v>
      </c>
      <c r="C56" s="19" t="n">
        <f aca="false">$G56*(1+$C$15)</f>
        <v>12.5</v>
      </c>
      <c r="D56" s="19" t="n">
        <f aca="false">$G56*(1+$D$15)</f>
        <v>11</v>
      </c>
      <c r="E56" s="19" t="n">
        <f aca="false">$G56*(1+$E$15)</f>
        <v>10</v>
      </c>
      <c r="F56" s="12" t="s">
        <v>1490</v>
      </c>
      <c r="G56" s="16" t="n">
        <v>10</v>
      </c>
    </row>
    <row r="57" customFormat="false" ht="24" hidden="false" customHeight="true" outlineLevel="0" collapsed="false">
      <c r="A57" s="8" t="s">
        <v>1491</v>
      </c>
      <c r="B57" s="12" t="s">
        <v>1492</v>
      </c>
      <c r="C57" s="19" t="n">
        <f aca="false">$C$9*SUMPRODUCT((1-$X$176:$X$235)*$G$176:$G$235)*'Assumptions &amp; Data'!$C$80*$C$16</f>
        <v>6.73965053332204</v>
      </c>
      <c r="D57" s="19" t="n">
        <f aca="false">$D$9*SUMPRODUCT((1-$AD$176:$AD$235)*$G$176:$G$235)*'Assumptions &amp; Data'!$C$80*$D$16</f>
        <v>7.58210684998729</v>
      </c>
      <c r="E57" s="19" t="n">
        <f aca="false">$E$9*SUMPRODUCT((1-$AJ$176:$AJ$235)*$G$176:$G$235)*'Assumptions &amp; Data'!$C$80*$E$16</f>
        <v>6.31842237498941</v>
      </c>
      <c r="F57" s="12" t="s">
        <v>1490</v>
      </c>
    </row>
    <row r="58" customFormat="false" ht="24" hidden="false" customHeight="true" outlineLevel="0" collapsed="false">
      <c r="A58" s="8" t="s">
        <v>1493</v>
      </c>
      <c r="B58" s="12" t="s">
        <v>1485</v>
      </c>
      <c r="C58" s="19" t="n">
        <f aca="false">$G58*(1+$C$15)</f>
        <v>6.25</v>
      </c>
      <c r="D58" s="19" t="n">
        <f aca="false">$G58*(1+$D$15)</f>
        <v>5.5</v>
      </c>
      <c r="E58" s="19" t="n">
        <f aca="false">$G58*(1+$E$15)</f>
        <v>5</v>
      </c>
      <c r="F58" s="12" t="s">
        <v>1490</v>
      </c>
      <c r="G58" s="16" t="n">
        <v>5</v>
      </c>
    </row>
    <row r="59" customFormat="false" ht="24" hidden="false" customHeight="true" outlineLevel="0" collapsed="false">
      <c r="A59" s="8" t="s">
        <v>1494</v>
      </c>
      <c r="B59" s="12" t="s">
        <v>1492</v>
      </c>
      <c r="C59" s="19" t="n">
        <f aca="false">($C$11*SUMPRODUCT((1-$X$176:$X$235)*$I$176:$I$235)*1.5+$C$11*SUMPRODUCT((1-$X$176:$X$235)*$K$176:$K$235)*$C$17/100000)*(1+$C$15)</f>
        <v>47.4568139487451</v>
      </c>
      <c r="D59" s="19" t="n">
        <f aca="false">($D$11*SUMPRODUCT((1-$AD$176:$AD$235)*$I$176:$I$235)*1.5+$D$11*SUMPRODUCT((1-$AD$176:$AD$235)*$K$176:$K$235)*$D$17/100000)*(1+$D$15)</f>
        <v>69.6033271248262</v>
      </c>
      <c r="E59" s="19" t="n">
        <f aca="false">($E$11*SUMPRODUCT((1-$AJ$176:$AJ$235)*$I$176:$I$235)*1.5+$E$11*SUMPRODUCT((1-$AJ$176:$AJ$235)*$K$176:$K$235)*$E$17/100000)*(1+$E$15)</f>
        <v>88.5860527043242</v>
      </c>
      <c r="F59" s="12" t="s">
        <v>1495</v>
      </c>
    </row>
    <row r="60" customFormat="false" ht="24" hidden="false" customHeight="true" outlineLevel="0" collapsed="false">
      <c r="A60" s="8" t="s">
        <v>1496</v>
      </c>
      <c r="B60" s="12" t="s">
        <v>1492</v>
      </c>
      <c r="C60" s="19" t="n">
        <f aca="false">SUMPRODUCT($X$176:$X$235*$Q$176:$Q$235)</f>
        <v>187.292544</v>
      </c>
      <c r="D60" s="19" t="n">
        <f aca="false">SUMPRODUCT($AD$176:$AD$235*$Q$176:$Q$235)</f>
        <v>187.292544</v>
      </c>
      <c r="E60" s="19" t="n">
        <f aca="false">SUMPRODUCT($AJ$176:$AJ$235*$Q$176:$Q$235)</f>
        <v>187.292544</v>
      </c>
      <c r="F60" s="12" t="s">
        <v>1497</v>
      </c>
    </row>
    <row r="61" customFormat="false" ht="24" hidden="false" customHeight="true" outlineLevel="0" collapsed="false">
      <c r="A61" s="8" t="s">
        <v>1498</v>
      </c>
      <c r="B61" s="12" t="s">
        <v>1485</v>
      </c>
      <c r="C61" s="19" t="n">
        <f aca="false">$G61*(1+$C$15)</f>
        <v>15</v>
      </c>
      <c r="D61" s="19" t="n">
        <f aca="false">$G61*(1+$D$15)</f>
        <v>13.2</v>
      </c>
      <c r="E61" s="19" t="n">
        <f aca="false">$G61*(1+$E$15)</f>
        <v>12</v>
      </c>
      <c r="F61" s="12" t="s">
        <v>1499</v>
      </c>
      <c r="G61" s="16" t="n">
        <v>12</v>
      </c>
    </row>
    <row r="62" customFormat="false" ht="15" hidden="false" customHeight="false" outlineLevel="0" collapsed="false">
      <c r="A62" s="6" t="s">
        <v>1500</v>
      </c>
      <c r="C62" s="21" t="n">
        <f aca="false">SUM(C54:C61)</f>
        <v>292.739008482067</v>
      </c>
      <c r="D62" s="21" t="n">
        <f aca="false">SUM(D54:D61)</f>
        <v>309.577977974813</v>
      </c>
      <c r="E62" s="21" t="n">
        <f aca="false">SUM(E54:E61)</f>
        <v>323.197019079314</v>
      </c>
    </row>
    <row r="63" customFormat="false" ht="15" hidden="false" customHeight="false" outlineLevel="0" collapsed="false">
      <c r="A63" s="2" t="s">
        <v>1501</v>
      </c>
    </row>
    <row r="64" customFormat="false" ht="15" hidden="false" customHeight="false" outlineLevel="0" collapsed="false">
      <c r="A64" s="12" t="s">
        <v>1502</v>
      </c>
      <c r="B64" s="12" t="s">
        <v>1503</v>
      </c>
      <c r="C64" s="16" t="n">
        <v>3</v>
      </c>
      <c r="D64" s="16" t="n">
        <v>3</v>
      </c>
      <c r="E64" s="16" t="n">
        <v>3</v>
      </c>
    </row>
    <row r="65" customFormat="false" ht="15" hidden="false" customHeight="false" outlineLevel="0" collapsed="false">
      <c r="A65" s="12" t="s">
        <v>1504</v>
      </c>
      <c r="B65" s="12" t="s">
        <v>1503</v>
      </c>
      <c r="C65" s="16" t="n">
        <v>0.8</v>
      </c>
      <c r="D65" s="16" t="n">
        <v>0.8</v>
      </c>
      <c r="E65" s="16" t="n">
        <v>0.8</v>
      </c>
    </row>
    <row r="66" customFormat="false" ht="15" hidden="false" customHeight="false" outlineLevel="0" collapsed="false">
      <c r="A66" s="12" t="s">
        <v>1505</v>
      </c>
      <c r="B66" s="12" t="s">
        <v>1503</v>
      </c>
      <c r="C66" s="16" t="n">
        <v>1.2</v>
      </c>
      <c r="D66" s="16" t="n">
        <v>1.2</v>
      </c>
      <c r="E66" s="16" t="n">
        <v>1.2</v>
      </c>
    </row>
    <row r="67" customFormat="false" ht="15" hidden="false" customHeight="false" outlineLevel="0" collapsed="false">
      <c r="A67" s="12" t="s">
        <v>1506</v>
      </c>
      <c r="B67" s="12" t="s">
        <v>1503</v>
      </c>
      <c r="C67" s="16" t="n">
        <v>0.8</v>
      </c>
      <c r="D67" s="16" t="n">
        <v>0.8</v>
      </c>
      <c r="E67" s="16" t="n">
        <v>0.8</v>
      </c>
    </row>
    <row r="68" customFormat="false" ht="15" hidden="false" customHeight="false" outlineLevel="0" collapsed="false">
      <c r="A68" s="6" t="s">
        <v>1507</v>
      </c>
      <c r="C68" s="21" t="n">
        <f aca="false">SUM(C64:C67)</f>
        <v>5.8</v>
      </c>
      <c r="D68" s="21" t="n">
        <f aca="false">SUM(D64:D67)</f>
        <v>5.8</v>
      </c>
      <c r="E68" s="21" t="n">
        <f aca="false">SUM(E64:E67)</f>
        <v>5.8</v>
      </c>
    </row>
    <row r="71" customFormat="false" ht="15" hidden="false" customHeight="false" outlineLevel="0" collapsed="false">
      <c r="A71" s="4" t="s">
        <v>1508</v>
      </c>
    </row>
    <row r="72" customFormat="false" ht="21.75" hidden="false" customHeight="true" outlineLevel="0" collapsed="false">
      <c r="A72" s="5" t="s">
        <v>1509</v>
      </c>
      <c r="B72" s="5" t="s">
        <v>1510</v>
      </c>
      <c r="C72" s="5" t="s">
        <v>1511</v>
      </c>
      <c r="D72" s="5" t="s">
        <v>1512</v>
      </c>
      <c r="E72" s="5" t="s">
        <v>1513</v>
      </c>
      <c r="F72" s="5" t="s">
        <v>1514</v>
      </c>
      <c r="G72" s="5" t="s">
        <v>1515</v>
      </c>
      <c r="H72" s="5" t="s">
        <v>1516</v>
      </c>
      <c r="I72" s="5" t="s">
        <v>1517</v>
      </c>
      <c r="J72" s="5" t="s">
        <v>1518</v>
      </c>
      <c r="K72" s="5" t="s">
        <v>1519</v>
      </c>
      <c r="L72" s="5" t="s">
        <v>1520</v>
      </c>
      <c r="M72" s="5" t="s">
        <v>1521</v>
      </c>
      <c r="N72" s="5" t="s">
        <v>1522</v>
      </c>
      <c r="O72" s="5" t="s">
        <v>1523</v>
      </c>
    </row>
    <row r="73" customFormat="false" ht="15" hidden="false" customHeight="false" outlineLevel="0" collapsed="false">
      <c r="A73" s="12" t="s">
        <v>1524</v>
      </c>
      <c r="B73" s="14" t="n">
        <v>2</v>
      </c>
      <c r="C73" s="14" t="n">
        <v>4</v>
      </c>
      <c r="D73" s="20" t="n">
        <f aca="false">MAX(0,MIN(1,(1-$B73+1)/($C73-$B73+1)))</f>
        <v>0</v>
      </c>
      <c r="E73" s="20" t="n">
        <f aca="false">MAX(0,MIN(1,(2-$B73+1)/($C73-$B73+1)))</f>
        <v>0.333333333333333</v>
      </c>
      <c r="F73" s="20" t="n">
        <f aca="false">MAX(0,MIN(1,(3-$B73+1)/($C73-$B73+1)))</f>
        <v>0.666666666666667</v>
      </c>
      <c r="G73" s="20" t="n">
        <f aca="false">MAX(0,MIN(1,(4-$B73+1)/($C73-$B73+1)))</f>
        <v>1</v>
      </c>
      <c r="H73" s="20" t="n">
        <f aca="false">MAX(0,MIN(1,(5-$B73+1)/($C73-$B73+1)))</f>
        <v>1</v>
      </c>
      <c r="I73" s="20" t="n">
        <f aca="false">MAX(0,MIN(1,(6-$B73+1)/($C73-$B73+1)))</f>
        <v>1</v>
      </c>
      <c r="J73" s="20" t="n">
        <f aca="false">MAX(0,MIN(1,(7-$B73+1)/($C73-$B73+1)))</f>
        <v>1</v>
      </c>
      <c r="K73" s="20" t="n">
        <f aca="false">MAX(0,MIN(1,(8-$B73+1)/($C73-$B73+1)))</f>
        <v>1</v>
      </c>
      <c r="L73" s="20" t="n">
        <f aca="false">MAX(0,MIN(1,(9-$B73+1)/($C73-$B73+1)))</f>
        <v>1</v>
      </c>
      <c r="M73" s="20" t="n">
        <f aca="false">MAX(0,MIN(1,(10-$B73+1)/($C73-$B73+1)))</f>
        <v>1</v>
      </c>
      <c r="N73" s="20" t="n">
        <f aca="false">MAX(0,MIN(1,(11-$B73+1)/($C73-$B73+1)))</f>
        <v>1</v>
      </c>
      <c r="O73" s="20" t="n">
        <f aca="false">MAX(0,MIN(1,(12-$B73+1)/($C73-$B73+1)))</f>
        <v>1</v>
      </c>
    </row>
    <row r="74" customFormat="false" ht="15" hidden="false" customHeight="false" outlineLevel="0" collapsed="false">
      <c r="A74" s="12" t="s">
        <v>1437</v>
      </c>
      <c r="B74" s="14" t="n">
        <v>3</v>
      </c>
      <c r="C74" s="14" t="n">
        <v>6</v>
      </c>
      <c r="D74" s="20" t="n">
        <f aca="false">MAX(0,MIN(1,(1-$B74+1)/($C74-$B74+1)))</f>
        <v>0</v>
      </c>
      <c r="E74" s="20" t="n">
        <f aca="false">MAX(0,MIN(1,(2-$B74+1)/($C74-$B74+1)))</f>
        <v>0</v>
      </c>
      <c r="F74" s="20" t="n">
        <f aca="false">MAX(0,MIN(1,(3-$B74+1)/($C74-$B74+1)))</f>
        <v>0.25</v>
      </c>
      <c r="G74" s="20" t="n">
        <f aca="false">MAX(0,MIN(1,(4-$B74+1)/($C74-$B74+1)))</f>
        <v>0.5</v>
      </c>
      <c r="H74" s="20" t="n">
        <f aca="false">MAX(0,MIN(1,(5-$B74+1)/($C74-$B74+1)))</f>
        <v>0.75</v>
      </c>
      <c r="I74" s="20" t="n">
        <f aca="false">MAX(0,MIN(1,(6-$B74+1)/($C74-$B74+1)))</f>
        <v>1</v>
      </c>
      <c r="J74" s="20" t="n">
        <f aca="false">MAX(0,MIN(1,(7-$B74+1)/($C74-$B74+1)))</f>
        <v>1</v>
      </c>
      <c r="K74" s="20" t="n">
        <f aca="false">MAX(0,MIN(1,(8-$B74+1)/($C74-$B74+1)))</f>
        <v>1</v>
      </c>
      <c r="L74" s="20" t="n">
        <f aca="false">MAX(0,MIN(1,(9-$B74+1)/($C74-$B74+1)))</f>
        <v>1</v>
      </c>
      <c r="M74" s="20" t="n">
        <f aca="false">MAX(0,MIN(1,(10-$B74+1)/($C74-$B74+1)))</f>
        <v>1</v>
      </c>
      <c r="N74" s="20" t="n">
        <f aca="false">MAX(0,MIN(1,(11-$B74+1)/($C74-$B74+1)))</f>
        <v>1</v>
      </c>
      <c r="O74" s="20" t="n">
        <f aca="false">MAX(0,MIN(1,(12-$B74+1)/($C74-$B74+1)))</f>
        <v>1</v>
      </c>
    </row>
    <row r="75" customFormat="false" ht="15" hidden="false" customHeight="false" outlineLevel="0" collapsed="false">
      <c r="A75" s="12" t="s">
        <v>1439</v>
      </c>
      <c r="B75" s="14" t="n">
        <v>4</v>
      </c>
      <c r="C75" s="14" t="n">
        <v>8</v>
      </c>
      <c r="D75" s="20" t="n">
        <f aca="false">MAX(0,MIN(1,(1-$B75+1)/($C75-$B75+1)))</f>
        <v>0</v>
      </c>
      <c r="E75" s="20" t="n">
        <f aca="false">MAX(0,MIN(1,(2-$B75+1)/($C75-$B75+1)))</f>
        <v>0</v>
      </c>
      <c r="F75" s="20" t="n">
        <f aca="false">MAX(0,MIN(1,(3-$B75+1)/($C75-$B75+1)))</f>
        <v>0</v>
      </c>
      <c r="G75" s="20" t="n">
        <f aca="false">MAX(0,MIN(1,(4-$B75+1)/($C75-$B75+1)))</f>
        <v>0.2</v>
      </c>
      <c r="H75" s="20" t="n">
        <f aca="false">MAX(0,MIN(1,(5-$B75+1)/($C75-$B75+1)))</f>
        <v>0.4</v>
      </c>
      <c r="I75" s="20" t="n">
        <f aca="false">MAX(0,MIN(1,(6-$B75+1)/($C75-$B75+1)))</f>
        <v>0.6</v>
      </c>
      <c r="J75" s="20" t="n">
        <f aca="false">MAX(0,MIN(1,(7-$B75+1)/($C75-$B75+1)))</f>
        <v>0.8</v>
      </c>
      <c r="K75" s="20" t="n">
        <f aca="false">MAX(0,MIN(1,(8-$B75+1)/($C75-$B75+1)))</f>
        <v>1</v>
      </c>
      <c r="L75" s="20" t="n">
        <f aca="false">MAX(0,MIN(1,(9-$B75+1)/($C75-$B75+1)))</f>
        <v>1</v>
      </c>
      <c r="M75" s="20" t="n">
        <f aca="false">MAX(0,MIN(1,(10-$B75+1)/($C75-$B75+1)))</f>
        <v>1</v>
      </c>
      <c r="N75" s="20" t="n">
        <f aca="false">MAX(0,MIN(1,(11-$B75+1)/($C75-$B75+1)))</f>
        <v>1</v>
      </c>
      <c r="O75" s="20" t="n">
        <f aca="false">MAX(0,MIN(1,(12-$B75+1)/($C75-$B75+1)))</f>
        <v>1</v>
      </c>
    </row>
    <row r="76" customFormat="false" ht="15" hidden="false" customHeight="false" outlineLevel="0" collapsed="false">
      <c r="A76" s="12" t="s">
        <v>180</v>
      </c>
      <c r="B76" s="14" t="n">
        <v>3</v>
      </c>
      <c r="C76" s="14" t="n">
        <v>7</v>
      </c>
      <c r="D76" s="20" t="n">
        <f aca="false">MAX(0,MIN(1,(1-$B76+1)/($C76-$B76+1)))</f>
        <v>0</v>
      </c>
      <c r="E76" s="20" t="n">
        <f aca="false">MAX(0,MIN(1,(2-$B76+1)/($C76-$B76+1)))</f>
        <v>0</v>
      </c>
      <c r="F76" s="20" t="n">
        <f aca="false">MAX(0,MIN(1,(3-$B76+1)/($C76-$B76+1)))</f>
        <v>0.2</v>
      </c>
      <c r="G76" s="20" t="n">
        <f aca="false">MAX(0,MIN(1,(4-$B76+1)/($C76-$B76+1)))</f>
        <v>0.4</v>
      </c>
      <c r="H76" s="20" t="n">
        <f aca="false">MAX(0,MIN(1,(5-$B76+1)/($C76-$B76+1)))</f>
        <v>0.6</v>
      </c>
      <c r="I76" s="20" t="n">
        <f aca="false">MAX(0,MIN(1,(6-$B76+1)/($C76-$B76+1)))</f>
        <v>0.8</v>
      </c>
      <c r="J76" s="20" t="n">
        <f aca="false">MAX(0,MIN(1,(7-$B76+1)/($C76-$B76+1)))</f>
        <v>1</v>
      </c>
      <c r="K76" s="20" t="n">
        <f aca="false">MAX(0,MIN(1,(8-$B76+1)/($C76-$B76+1)))</f>
        <v>1</v>
      </c>
      <c r="L76" s="20" t="n">
        <f aca="false">MAX(0,MIN(1,(9-$B76+1)/($C76-$B76+1)))</f>
        <v>1</v>
      </c>
      <c r="M76" s="20" t="n">
        <f aca="false">MAX(0,MIN(1,(10-$B76+1)/($C76-$B76+1)))</f>
        <v>1</v>
      </c>
      <c r="N76" s="20" t="n">
        <f aca="false">MAX(0,MIN(1,(11-$B76+1)/($C76-$B76+1)))</f>
        <v>1</v>
      </c>
      <c r="O76" s="20" t="n">
        <f aca="false">MAX(0,MIN(1,(12-$B76+1)/($C76-$B76+1)))</f>
        <v>1</v>
      </c>
    </row>
    <row r="77" customFormat="false" ht="15" hidden="false" customHeight="false" outlineLevel="0" collapsed="false">
      <c r="A77" s="12" t="s">
        <v>1443</v>
      </c>
      <c r="B77" s="14" t="n">
        <v>5</v>
      </c>
      <c r="C77" s="14" t="n">
        <v>10</v>
      </c>
      <c r="D77" s="20" t="n">
        <f aca="false">MAX(0,MIN(1,(1-$B77+1)/($C77-$B77+1)))</f>
        <v>0</v>
      </c>
      <c r="E77" s="20" t="n">
        <f aca="false">MAX(0,MIN(1,(2-$B77+1)/($C77-$B77+1)))</f>
        <v>0</v>
      </c>
      <c r="F77" s="20" t="n">
        <f aca="false">MAX(0,MIN(1,(3-$B77+1)/($C77-$B77+1)))</f>
        <v>0</v>
      </c>
      <c r="G77" s="20" t="n">
        <f aca="false">MAX(0,MIN(1,(4-$B77+1)/($C77-$B77+1)))</f>
        <v>0</v>
      </c>
      <c r="H77" s="20" t="n">
        <f aca="false">MAX(0,MIN(1,(5-$B77+1)/($C77-$B77+1)))</f>
        <v>0.166666666666667</v>
      </c>
      <c r="I77" s="20" t="n">
        <f aca="false">MAX(0,MIN(1,(6-$B77+1)/($C77-$B77+1)))</f>
        <v>0.333333333333333</v>
      </c>
      <c r="J77" s="20" t="n">
        <f aca="false">MAX(0,MIN(1,(7-$B77+1)/($C77-$B77+1)))</f>
        <v>0.5</v>
      </c>
      <c r="K77" s="20" t="n">
        <f aca="false">MAX(0,MIN(1,(8-$B77+1)/($C77-$B77+1)))</f>
        <v>0.666666666666667</v>
      </c>
      <c r="L77" s="20" t="n">
        <f aca="false">MAX(0,MIN(1,(9-$B77+1)/($C77-$B77+1)))</f>
        <v>0.833333333333333</v>
      </c>
      <c r="M77" s="20" t="n">
        <f aca="false">MAX(0,MIN(1,(10-$B77+1)/($C77-$B77+1)))</f>
        <v>1</v>
      </c>
      <c r="N77" s="20" t="n">
        <f aca="false">MAX(0,MIN(1,(11-$B77+1)/($C77-$B77+1)))</f>
        <v>1</v>
      </c>
      <c r="O77" s="20" t="n">
        <f aca="false">MAX(0,MIN(1,(12-$B77+1)/($C77-$B77+1)))</f>
        <v>1</v>
      </c>
    </row>
    <row r="78" customFormat="false" ht="15" hidden="false" customHeight="false" outlineLevel="0" collapsed="false">
      <c r="A78" s="12" t="s">
        <v>1525</v>
      </c>
      <c r="B78" s="14" t="n">
        <v>4</v>
      </c>
      <c r="C78" s="14" t="n">
        <v>8</v>
      </c>
      <c r="D78" s="20" t="n">
        <f aca="false">MAX(0,MIN(1,(1-$B78+1)/($C78-$B78+1)))</f>
        <v>0</v>
      </c>
      <c r="E78" s="20" t="n">
        <f aca="false">MAX(0,MIN(1,(2-$B78+1)/($C78-$B78+1)))</f>
        <v>0</v>
      </c>
      <c r="F78" s="20" t="n">
        <f aca="false">MAX(0,MIN(1,(3-$B78+1)/($C78-$B78+1)))</f>
        <v>0</v>
      </c>
      <c r="G78" s="20" t="n">
        <f aca="false">MAX(0,MIN(1,(4-$B78+1)/($C78-$B78+1)))</f>
        <v>0.2</v>
      </c>
      <c r="H78" s="20" t="n">
        <f aca="false">MAX(0,MIN(1,(5-$B78+1)/($C78-$B78+1)))</f>
        <v>0.4</v>
      </c>
      <c r="I78" s="20" t="n">
        <f aca="false">MAX(0,MIN(1,(6-$B78+1)/($C78-$B78+1)))</f>
        <v>0.6</v>
      </c>
      <c r="J78" s="20" t="n">
        <f aca="false">MAX(0,MIN(1,(7-$B78+1)/($C78-$B78+1)))</f>
        <v>0.8</v>
      </c>
      <c r="K78" s="20" t="n">
        <f aca="false">MAX(0,MIN(1,(8-$B78+1)/($C78-$B78+1)))</f>
        <v>1</v>
      </c>
      <c r="L78" s="20" t="n">
        <f aca="false">MAX(0,MIN(1,(9-$B78+1)/($C78-$B78+1)))</f>
        <v>1</v>
      </c>
      <c r="M78" s="20" t="n">
        <f aca="false">MAX(0,MIN(1,(10-$B78+1)/($C78-$B78+1)))</f>
        <v>1</v>
      </c>
      <c r="N78" s="20" t="n">
        <f aca="false">MAX(0,MIN(1,(11-$B78+1)/($C78-$B78+1)))</f>
        <v>1</v>
      </c>
      <c r="O78" s="20" t="n">
        <f aca="false">MAX(0,MIN(1,(12-$B78+1)/($C78-$B78+1)))</f>
        <v>1</v>
      </c>
    </row>
    <row r="80" customFormat="false" ht="21.75" hidden="false" customHeight="true" outlineLevel="0" collapsed="false">
      <c r="A80" s="5" t="s">
        <v>1526</v>
      </c>
      <c r="B80" s="5" t="s">
        <v>1527</v>
      </c>
      <c r="C80" s="5"/>
      <c r="D80" s="5" t="s">
        <v>1512</v>
      </c>
      <c r="E80" s="5" t="s">
        <v>1513</v>
      </c>
      <c r="F80" s="5" t="s">
        <v>1514</v>
      </c>
      <c r="G80" s="5" t="s">
        <v>1515</v>
      </c>
      <c r="H80" s="5" t="s">
        <v>1516</v>
      </c>
      <c r="I80" s="5" t="s">
        <v>1517</v>
      </c>
      <c r="J80" s="5" t="s">
        <v>1518</v>
      </c>
      <c r="K80" s="5" t="s">
        <v>1519</v>
      </c>
      <c r="L80" s="5" t="s">
        <v>1520</v>
      </c>
      <c r="M80" s="5" t="s">
        <v>1521</v>
      </c>
      <c r="N80" s="5" t="s">
        <v>1522</v>
      </c>
      <c r="O80" s="5" t="s">
        <v>1523</v>
      </c>
      <c r="P80" s="5" t="s">
        <v>1161</v>
      </c>
    </row>
    <row r="81" customFormat="false" ht="15" hidden="false" customHeight="false" outlineLevel="0" collapsed="false">
      <c r="A81" s="12" t="s">
        <v>1528</v>
      </c>
      <c r="B81" s="12" t="s">
        <v>240</v>
      </c>
      <c r="D81" s="19" t="n">
        <f aca="false">(C$23*D$73+C$24*D$74+C$25*D$75+C$26*D$76+C$27*D$77)*(1-$C$14)+C$29*D$78</f>
        <v>0</v>
      </c>
      <c r="E81" s="19" t="n">
        <f aca="false">(C$23*E$73+C$24*E$74+C$25*E$75+C$26*E$76+C$27*E$77)*(1-$C$14)+C$29*E$78</f>
        <v>7.39837223262769</v>
      </c>
      <c r="F81" s="19" t="n">
        <f aca="false">(C$23*F$73+C$24*F$74+C$25*F$75+C$26*F$76+C$27*F$77)*(1-$C$14)+C$29*F$78</f>
        <v>20.4298169903788</v>
      </c>
      <c r="G81" s="19" t="n">
        <f aca="false">(C$23*G$73+C$24*G$74+C$25*G$75+C$26*G$76+C$27*G$77)*(1-$C$14)+C$29*G$78</f>
        <v>39.6912110431766</v>
      </c>
      <c r="H81" s="19" t="n">
        <f aca="false">(C$23*H$73+C$24*H$74+C$25*H$75+C$26*H$76+C$27*H$77)*(1-$C$14)+C$29*H$78</f>
        <v>53.1999612659741</v>
      </c>
      <c r="I81" s="19" t="n">
        <f aca="false">(C$23*I$73+C$24*I$74+C$25*I$75+C$26*I$76+C$27*I$77)*(1-$C$14)+C$29*I$78</f>
        <v>66.7087114887716</v>
      </c>
      <c r="J81" s="19" t="n">
        <f aca="false">(C$23*J$73+C$24*J$74+C$25*J$75+C$26*J$76+C$27*J$77)*(1-$C$14)+C$29*J$78</f>
        <v>76.1156542618437</v>
      </c>
      <c r="K81" s="19" t="n">
        <f aca="false">(C$23*K$73+C$24*K$74+C$25*K$75+C$26*K$76+C$27*K$77)*(1-$C$14)+C$29*K$78</f>
        <v>83.9913319595178</v>
      </c>
      <c r="L81" s="19" t="n">
        <f aca="false">(C$23*L$73+C$24*L$74+C$25*L$75+C$26*L$76+C$27*L$77)*(1-$C$14)+C$29*L$78</f>
        <v>85.6370603621451</v>
      </c>
      <c r="M81" s="19" t="n">
        <f aca="false">(C$23*M$73+C$24*M$74+C$25*M$75+C$26*M$76+C$27*M$77)*(1-$C$14)+C$29*M$78</f>
        <v>87.2827887647725</v>
      </c>
      <c r="N81" s="19" t="n">
        <f aca="false">(C$23*N$73+C$24*N$74+C$25*N$75+C$26*N$76+C$27*N$77)*(1-$C$14)+C$29*N$78</f>
        <v>87.2827887647725</v>
      </c>
      <c r="O81" s="19" t="n">
        <f aca="false">(C$23*O$73+C$24*O$74+C$25*O$75+C$26*O$76+C$27*O$77)*(1-$C$14)+C$29*O$78</f>
        <v>87.2827887647725</v>
      </c>
      <c r="P81" s="54" t="n">
        <f aca="false">SUM(D81:O81)</f>
        <v>695.020485898753</v>
      </c>
    </row>
    <row r="82" customFormat="false" ht="15" hidden="false" customHeight="false" outlineLevel="0" collapsed="false">
      <c r="A82" s="12" t="s">
        <v>1529</v>
      </c>
      <c r="B82" s="12" t="s">
        <v>240</v>
      </c>
      <c r="D82" s="19" t="n">
        <f aca="false">-(C$62-C$60)/4</f>
        <v>-26.3616161205168</v>
      </c>
      <c r="E82" s="19" t="n">
        <f aca="false">-(C$62-C$60)/4</f>
        <v>-26.3616161205168</v>
      </c>
      <c r="F82" s="19" t="n">
        <f aca="false">-(C$62-C$60)/4</f>
        <v>-26.3616161205168</v>
      </c>
      <c r="G82" s="19" t="n">
        <f aca="false">-(C$62-C$60)/4-C$60</f>
        <v>-213.654160120517</v>
      </c>
      <c r="H82" s="19" t="n">
        <v>0</v>
      </c>
      <c r="I82" s="19" t="n">
        <v>0</v>
      </c>
      <c r="J82" s="19" t="n">
        <v>0</v>
      </c>
      <c r="K82" s="19" t="n">
        <v>0</v>
      </c>
      <c r="L82" s="19" t="n">
        <v>0</v>
      </c>
      <c r="M82" s="19" t="n">
        <v>0</v>
      </c>
      <c r="N82" s="19" t="n">
        <v>0</v>
      </c>
      <c r="O82" s="19" t="n">
        <v>0</v>
      </c>
      <c r="P82" s="54" t="n">
        <f aca="false">SUM(D82:O82)</f>
        <v>-292.739008482067</v>
      </c>
    </row>
    <row r="83" customFormat="false" ht="15" hidden="false" customHeight="false" outlineLevel="0" collapsed="false">
      <c r="A83" s="6" t="s">
        <v>1530</v>
      </c>
      <c r="B83" s="12" t="s">
        <v>240</v>
      </c>
      <c r="D83" s="21" t="n">
        <f aca="false">D81+D82-C$68</f>
        <v>-32.1616161205168</v>
      </c>
      <c r="E83" s="21" t="n">
        <f aca="false">E81+E82-C$68</f>
        <v>-24.7632438878891</v>
      </c>
      <c r="F83" s="21" t="n">
        <f aca="false">F81+F82-C$68</f>
        <v>-11.731799130138</v>
      </c>
      <c r="G83" s="21" t="n">
        <f aca="false">G81+G82-C$68</f>
        <v>-179.76294907734</v>
      </c>
      <c r="H83" s="21" t="n">
        <f aca="false">H81+H82-C$68</f>
        <v>47.3999612659741</v>
      </c>
      <c r="I83" s="21" t="n">
        <f aca="false">I81+I82-C$68</f>
        <v>60.9087114887716</v>
      </c>
      <c r="J83" s="21" t="n">
        <f aca="false">J81+J82-C$68</f>
        <v>70.3156542618437</v>
      </c>
      <c r="K83" s="21" t="n">
        <f aca="false">K81+K82-C$68</f>
        <v>78.1913319595178</v>
      </c>
      <c r="L83" s="21" t="n">
        <f aca="false">L81+L82-C$68</f>
        <v>79.8370603621451</v>
      </c>
      <c r="M83" s="21" t="n">
        <f aca="false">M81+M82-C$68</f>
        <v>81.4827887647725</v>
      </c>
      <c r="N83" s="21" t="n">
        <f aca="false">N81+N82-C$68</f>
        <v>81.4827887647725</v>
      </c>
      <c r="O83" s="21" t="n">
        <f aca="false">O81+O82-C$68</f>
        <v>81.4827887647725</v>
      </c>
      <c r="P83" s="54" t="n">
        <f aca="false">SUM(D83:O83)</f>
        <v>332.681477416686</v>
      </c>
    </row>
    <row r="84" customFormat="false" ht="15" hidden="false" customHeight="false" outlineLevel="0" collapsed="false">
      <c r="A84" s="6" t="s">
        <v>1531</v>
      </c>
      <c r="B84" s="12" t="s">
        <v>240</v>
      </c>
      <c r="D84" s="21" t="n">
        <f aca="false">D83</f>
        <v>-32.1616161205168</v>
      </c>
      <c r="E84" s="21" t="n">
        <f aca="false">D84+E83</f>
        <v>-56.9248600084059</v>
      </c>
      <c r="F84" s="21" t="n">
        <f aca="false">E84+F83</f>
        <v>-68.6566591385439</v>
      </c>
      <c r="G84" s="21" t="n">
        <f aca="false">F84+G83</f>
        <v>-248.419608215884</v>
      </c>
      <c r="H84" s="21" t="n">
        <f aca="false">G84+H83</f>
        <v>-201.01964694991</v>
      </c>
      <c r="I84" s="21" t="n">
        <f aca="false">H84+I83</f>
        <v>-140.110935461138</v>
      </c>
      <c r="J84" s="21" t="n">
        <f aca="false">I84+J83</f>
        <v>-69.7952811992947</v>
      </c>
      <c r="K84" s="21" t="n">
        <f aca="false">J84+K83</f>
        <v>8.39605076022308</v>
      </c>
      <c r="L84" s="21" t="n">
        <f aca="false">K84+L83</f>
        <v>88.2331111223682</v>
      </c>
      <c r="M84" s="21" t="n">
        <f aca="false">L84+M83</f>
        <v>169.715899887141</v>
      </c>
      <c r="N84" s="21" t="n">
        <f aca="false">M84+N83</f>
        <v>251.198688651913</v>
      </c>
      <c r="O84" s="21" t="n">
        <f aca="false">N84+O83</f>
        <v>332.681477416686</v>
      </c>
    </row>
    <row r="85" customFormat="false" ht="15" hidden="false" customHeight="false" outlineLevel="0" collapsed="false">
      <c r="A85" s="3" t="s">
        <v>1532</v>
      </c>
      <c r="B85" s="42" t="s">
        <v>240</v>
      </c>
      <c r="D85" s="55" t="str">
        <f aca="false">IF(AND(D84&gt;=0,D83&gt;0),1,"")</f>
        <v/>
      </c>
      <c r="E85" s="55" t="str">
        <f aca="false">IF(AND(E84&gt;=0,E83&gt;0),2,"")</f>
        <v/>
      </c>
      <c r="F85" s="55" t="str">
        <f aca="false">IF(AND(F84&gt;=0,F83&gt;0),3,"")</f>
        <v/>
      </c>
      <c r="G85" s="55" t="str">
        <f aca="false">IF(AND(G84&gt;=0,G83&gt;0),4,"")</f>
        <v/>
      </c>
      <c r="H85" s="55" t="str">
        <f aca="false">IF(AND(H84&gt;=0,H83&gt;0),5,"")</f>
        <v/>
      </c>
      <c r="I85" s="55" t="str">
        <f aca="false">IF(AND(I84&gt;=0,I83&gt;0),6,"")</f>
        <v/>
      </c>
      <c r="J85" s="55" t="str">
        <f aca="false">IF(AND(J84&gt;=0,J83&gt;0),7,"")</f>
        <v/>
      </c>
      <c r="K85" s="55" t="n">
        <f aca="false">IF(AND(K84&gt;=0,K83&gt;0),8,"")</f>
        <v>8</v>
      </c>
      <c r="L85" s="55" t="n">
        <f aca="false">IF(AND(L84&gt;=0,L83&gt;0),9,"")</f>
        <v>9</v>
      </c>
      <c r="M85" s="55" t="n">
        <f aca="false">IF(AND(M84&gt;=0,M83&gt;0),10,"")</f>
        <v>10</v>
      </c>
      <c r="N85" s="55" t="n">
        <f aca="false">IF(AND(N84&gt;=0,N83&gt;0),11,"")</f>
        <v>11</v>
      </c>
      <c r="O85" s="55" t="n">
        <f aca="false">IF(AND(O84&gt;=0,O83&gt;0),12,"")</f>
        <v>12</v>
      </c>
    </row>
    <row r="87" customFormat="false" ht="15" hidden="false" customHeight="false" outlineLevel="0" collapsed="false">
      <c r="A87" s="12" t="s">
        <v>1528</v>
      </c>
      <c r="B87" s="12" t="s">
        <v>1403</v>
      </c>
      <c r="D87" s="19" t="n">
        <f aca="false">(D$23*D$73+D$24*D$74+D$25*D$75+D$26*D$76+D$27*D$77)*(1-$D$14)+D$29*D$78</f>
        <v>0</v>
      </c>
      <c r="E87" s="19" t="n">
        <f aca="false">(D$23*E$73+D$24*E$74+D$25*E$75+D$26*E$76+D$27*E$77)*(1-$D$14)+D$29*E$78</f>
        <v>11.3821985503506</v>
      </c>
      <c r="F87" s="19" t="n">
        <f aca="false">(D$23*F$73+D$24*F$74+D$25*F$75+D$26*F$76+D$27*F$77)*(1-$D$14)+D$29*F$78</f>
        <v>31.8648903539944</v>
      </c>
      <c r="G87" s="19" t="n">
        <f aca="false">(D$23*G$73+D$24*G$74+D$25*G$75+D$26*G$76+D$27*G$77)*(1-$D$14)+D$29*G$78</f>
        <v>60.2212681471767</v>
      </c>
      <c r="H87" s="19" t="n">
        <f aca="false">(D$23*H$73+D$24*H$74+D$25*H$75+D$26*H$76+D$27*H$77)*(1-$D$14)+D$29*H$78</f>
        <v>80.0630044551924</v>
      </c>
      <c r="I87" s="19" t="n">
        <f aca="false">(D$23*I$73+D$24*I$74+D$25*I$75+D$26*I$76+D$27*I$77)*(1-$D$14)+D$29*I$78</f>
        <v>99.9047407632082</v>
      </c>
      <c r="J87" s="19" t="n">
        <f aca="false">(D$23*J$73+D$24*J$74+D$25*J$75+D$26*J$76+D$27*J$77)*(1-$D$14)+D$29*J$78</f>
        <v>113.314097206882</v>
      </c>
      <c r="K87" s="19" t="n">
        <f aca="false">(D$23*K$73+D$24*K$74+D$25*K$75+D$26*K$76+D$27*K$77)*(1-$D$14)+D$29*K$78</f>
        <v>124.055340261604</v>
      </c>
      <c r="L87" s="19" t="n">
        <f aca="false">(D$23*L$73+D$24*L$74+D$25*L$75+D$26*L$76+D$27*L$77)*(1-$D$14)+D$29*L$78</f>
        <v>126.922897326788</v>
      </c>
      <c r="M87" s="19" t="n">
        <f aca="false">(D$23*M$73+D$24*M$74+D$25*M$75+D$26*M$76+D$27*M$77)*(1-$D$14)+D$29*M$78</f>
        <v>129.790454391972</v>
      </c>
      <c r="N87" s="19" t="n">
        <f aca="false">(D$23*N$73+D$24*N$74+D$25*N$75+D$26*N$76+D$27*N$77)*(1-$D$14)+D$29*N$78</f>
        <v>129.790454391972</v>
      </c>
      <c r="O87" s="19" t="n">
        <f aca="false">(D$23*O$73+D$24*O$74+D$25*O$75+D$26*O$76+D$27*O$77)*(1-$D$14)+D$29*O$78</f>
        <v>129.790454391972</v>
      </c>
      <c r="P87" s="54" t="n">
        <f aca="false">SUM(D87:O87)</f>
        <v>1037.09980024111</v>
      </c>
    </row>
    <row r="88" customFormat="false" ht="15" hidden="false" customHeight="false" outlineLevel="0" collapsed="false">
      <c r="A88" s="12" t="s">
        <v>1529</v>
      </c>
      <c r="B88" s="12" t="s">
        <v>1403</v>
      </c>
      <c r="D88" s="19" t="n">
        <f aca="false">-(D$62-D$60)/4</f>
        <v>-30.5713584937034</v>
      </c>
      <c r="E88" s="19" t="n">
        <f aca="false">-(D$62-D$60)/4</f>
        <v>-30.5713584937034</v>
      </c>
      <c r="F88" s="19" t="n">
        <f aca="false">-(D$62-D$60)/4</f>
        <v>-30.5713584937034</v>
      </c>
      <c r="G88" s="19" t="n">
        <f aca="false">-(D$62-D$60)/4-D$60</f>
        <v>-217.863902493703</v>
      </c>
      <c r="H88" s="19" t="n">
        <v>0</v>
      </c>
      <c r="I88" s="19" t="n">
        <v>0</v>
      </c>
      <c r="J88" s="19" t="n">
        <v>0</v>
      </c>
      <c r="K88" s="19" t="n">
        <v>0</v>
      </c>
      <c r="L88" s="19" t="n">
        <v>0</v>
      </c>
      <c r="M88" s="19" t="n">
        <v>0</v>
      </c>
      <c r="N88" s="19" t="n">
        <v>0</v>
      </c>
      <c r="O88" s="19" t="n">
        <v>0</v>
      </c>
      <c r="P88" s="54" t="n">
        <f aca="false">SUM(D88:O88)</f>
        <v>-309.577977974813</v>
      </c>
    </row>
    <row r="89" customFormat="false" ht="15" hidden="false" customHeight="false" outlineLevel="0" collapsed="false">
      <c r="A89" s="6" t="s">
        <v>1530</v>
      </c>
      <c r="B89" s="12" t="s">
        <v>1403</v>
      </c>
      <c r="D89" s="21" t="n">
        <f aca="false">D87+D88-D$68</f>
        <v>-36.3713584937034</v>
      </c>
      <c r="E89" s="21" t="n">
        <f aca="false">E87+E88-D$68</f>
        <v>-24.9891599433528</v>
      </c>
      <c r="F89" s="21" t="n">
        <f aca="false">F87+F88-D$68</f>
        <v>-4.506468139709</v>
      </c>
      <c r="G89" s="21" t="n">
        <f aca="false">G87+G88-D$68</f>
        <v>-163.442634346527</v>
      </c>
      <c r="H89" s="21" t="n">
        <f aca="false">H87+H88-D$68</f>
        <v>74.2630044551924</v>
      </c>
      <c r="I89" s="21" t="n">
        <f aca="false">I87+I88-D$68</f>
        <v>94.1047407632082</v>
      </c>
      <c r="J89" s="21" t="n">
        <f aca="false">J87+J88-D$68</f>
        <v>107.514097206882</v>
      </c>
      <c r="K89" s="21" t="n">
        <f aca="false">K87+K88-D$68</f>
        <v>118.255340261604</v>
      </c>
      <c r="L89" s="21" t="n">
        <f aca="false">L87+L88-D$68</f>
        <v>121.122897326788</v>
      </c>
      <c r="M89" s="21" t="n">
        <f aca="false">M87+M88-D$68</f>
        <v>123.990454391972</v>
      </c>
      <c r="N89" s="21" t="n">
        <f aca="false">N87+N88-D$68</f>
        <v>123.990454391972</v>
      </c>
      <c r="O89" s="21" t="n">
        <f aca="false">O87+O88-D$68</f>
        <v>123.990454391972</v>
      </c>
      <c r="P89" s="54" t="n">
        <f aca="false">SUM(D89:O89)</f>
        <v>657.9218222663</v>
      </c>
    </row>
    <row r="90" customFormat="false" ht="15" hidden="false" customHeight="false" outlineLevel="0" collapsed="false">
      <c r="A90" s="6" t="s">
        <v>1531</v>
      </c>
      <c r="B90" s="12" t="s">
        <v>1403</v>
      </c>
      <c r="D90" s="21" t="n">
        <f aca="false">D89</f>
        <v>-36.3713584937034</v>
      </c>
      <c r="E90" s="21" t="n">
        <f aca="false">D90+E89</f>
        <v>-61.3605184370561</v>
      </c>
      <c r="F90" s="21" t="n">
        <f aca="false">E90+F89</f>
        <v>-65.8669865767651</v>
      </c>
      <c r="G90" s="21" t="n">
        <f aca="false">F90+G89</f>
        <v>-229.309620923292</v>
      </c>
      <c r="H90" s="21" t="n">
        <f aca="false">G90+H89</f>
        <v>-155.046616468099</v>
      </c>
      <c r="I90" s="21" t="n">
        <f aca="false">H90+I89</f>
        <v>-60.9418757048912</v>
      </c>
      <c r="J90" s="21" t="n">
        <f aca="false">I90+J89</f>
        <v>46.5722215019905</v>
      </c>
      <c r="K90" s="21" t="n">
        <f aca="false">J90+K89</f>
        <v>164.827561763595</v>
      </c>
      <c r="L90" s="21" t="n">
        <f aca="false">K90+L89</f>
        <v>285.950459090383</v>
      </c>
      <c r="M90" s="21" t="n">
        <f aca="false">L90+M89</f>
        <v>409.940913482355</v>
      </c>
      <c r="N90" s="21" t="n">
        <f aca="false">M90+N89</f>
        <v>533.931367874328</v>
      </c>
      <c r="O90" s="21" t="n">
        <f aca="false">N90+O89</f>
        <v>657.9218222663</v>
      </c>
    </row>
    <row r="91" customFormat="false" ht="15" hidden="false" customHeight="false" outlineLevel="0" collapsed="false">
      <c r="A91" s="3" t="s">
        <v>1532</v>
      </c>
      <c r="B91" s="42" t="s">
        <v>1403</v>
      </c>
      <c r="D91" s="55" t="str">
        <f aca="false">IF(AND(D90&gt;=0,D89&gt;0),1,"")</f>
        <v/>
      </c>
      <c r="E91" s="55" t="str">
        <f aca="false">IF(AND(E90&gt;=0,E89&gt;0),2,"")</f>
        <v/>
      </c>
      <c r="F91" s="55" t="str">
        <f aca="false">IF(AND(F90&gt;=0,F89&gt;0),3,"")</f>
        <v/>
      </c>
      <c r="G91" s="55" t="str">
        <f aca="false">IF(AND(G90&gt;=0,G89&gt;0),4,"")</f>
        <v/>
      </c>
      <c r="H91" s="55" t="str">
        <f aca="false">IF(AND(H90&gt;=0,H89&gt;0),5,"")</f>
        <v/>
      </c>
      <c r="I91" s="55" t="str">
        <f aca="false">IF(AND(I90&gt;=0,I89&gt;0),6,"")</f>
        <v/>
      </c>
      <c r="J91" s="55" t="n">
        <f aca="false">IF(AND(J90&gt;=0,J89&gt;0),7,"")</f>
        <v>7</v>
      </c>
      <c r="K91" s="55" t="n">
        <f aca="false">IF(AND(K90&gt;=0,K89&gt;0),8,"")</f>
        <v>8</v>
      </c>
      <c r="L91" s="55" t="n">
        <f aca="false">IF(AND(L90&gt;=0,L89&gt;0),9,"")</f>
        <v>9</v>
      </c>
      <c r="M91" s="55" t="n">
        <f aca="false">IF(AND(M90&gt;=0,M89&gt;0),10,"")</f>
        <v>10</v>
      </c>
      <c r="N91" s="55" t="n">
        <f aca="false">IF(AND(N90&gt;=0,N89&gt;0),11,"")</f>
        <v>11</v>
      </c>
      <c r="O91" s="55" t="n">
        <f aca="false">IF(AND(O90&gt;=0,O89&gt;0),12,"")</f>
        <v>12</v>
      </c>
    </row>
    <row r="93" customFormat="false" ht="15" hidden="false" customHeight="false" outlineLevel="0" collapsed="false">
      <c r="A93" s="12" t="s">
        <v>1528</v>
      </c>
      <c r="B93" s="12" t="s">
        <v>1404</v>
      </c>
      <c r="D93" s="19" t="n">
        <f aca="false">(E$23*D$73+E$24*D$74+E$25*D$75+E$26*D$76+E$27*D$77)*(1-$E$14)+E$29*D$78</f>
        <v>0</v>
      </c>
      <c r="E93" s="19" t="n">
        <f aca="false">(E$23*E$73+E$24*E$74+E$25*E$75+E$26*E$76+E$27*E$77)*(1-$E$14)+E$29*E$78</f>
        <v>14.6884772890432</v>
      </c>
      <c r="F93" s="19" t="n">
        <f aca="false">(E$23*F$73+E$24*F$74+E$25*F$75+E$26*F$76+E$27*F$77)*(1-$E$14)+E$29*F$78</f>
        <v>41.2612710175004</v>
      </c>
      <c r="G93" s="19" t="n">
        <f aca="false">(E$23*G$73+E$24*G$74+E$25*G$75+E$26*G$76+E$27*G$77)*(1-$E$14)+E$29*G$78</f>
        <v>76.7676463543113</v>
      </c>
      <c r="H93" s="19" t="n">
        <f aca="false">(E$23*H$73+E$24*H$74+E$25*H$75+E$26*H$76+E$27*H$77)*(1-$E$14)+E$29*H$78</f>
        <v>101.731034507182</v>
      </c>
      <c r="I93" s="19" t="n">
        <f aca="false">(E$23*I$73+E$24*I$74+E$25*I$75+E$26*I$76+E$27*I$77)*(1-$E$14)+E$29*I$78</f>
        <v>126.694422660053</v>
      </c>
      <c r="J93" s="19" t="n">
        <f aca="false">(E$23*J$73+E$24*J$74+E$25*J$75+E$26*J$76+E$27*J$77)*(1-$E$14)+E$29*J$78</f>
        <v>143.355146585851</v>
      </c>
      <c r="K93" s="19" t="n">
        <f aca="false">(E$23*K$73+E$24*K$74+E$25*K$75+E$26*K$76+E$27*K$77)*(1-$E$14)+E$29*K$78</f>
        <v>156.434218299308</v>
      </c>
      <c r="L93" s="19" t="n">
        <f aca="false">(E$23*L$73+E$24*L$74+E$25*L$75+E$26*L$76+E$27*L$77)*(1-$E$14)+E$29*L$78</f>
        <v>160.579708404411</v>
      </c>
      <c r="M93" s="19" t="n">
        <f aca="false">(E$23*M$73+E$24*M$74+E$25*M$75+E$26*M$76+E$27*M$77)*(1-$E$14)+E$29*M$78</f>
        <v>164.725198509514</v>
      </c>
      <c r="N93" s="19" t="n">
        <f aca="false">(E$23*N$73+E$24*N$74+E$25*N$75+E$26*N$76+E$27*N$77)*(1-$E$14)+E$29*N$78</f>
        <v>164.725198509514</v>
      </c>
      <c r="O93" s="19" t="n">
        <f aca="false">(E$23*O$73+E$24*O$74+E$25*O$75+E$26*O$76+E$27*O$77)*(1-$E$14)+E$29*O$78</f>
        <v>164.725198509514</v>
      </c>
      <c r="P93" s="54" t="n">
        <f aca="false">SUM(D93:O93)</f>
        <v>1315.6875206462</v>
      </c>
    </row>
    <row r="94" customFormat="false" ht="15" hidden="false" customHeight="false" outlineLevel="0" collapsed="false">
      <c r="A94" s="12" t="s">
        <v>1529</v>
      </c>
      <c r="B94" s="12" t="s">
        <v>1404</v>
      </c>
      <c r="D94" s="19" t="n">
        <f aca="false">-(E$62-E$60)/4</f>
        <v>-33.9761187698284</v>
      </c>
      <c r="E94" s="19" t="n">
        <f aca="false">-(E$62-E$60)/4</f>
        <v>-33.9761187698284</v>
      </c>
      <c r="F94" s="19" t="n">
        <f aca="false">-(E$62-E$60)/4</f>
        <v>-33.9761187698284</v>
      </c>
      <c r="G94" s="19" t="n">
        <f aca="false">-(E$62-E$60)/4-E$60</f>
        <v>-221.268662769828</v>
      </c>
      <c r="H94" s="19" t="n">
        <v>0</v>
      </c>
      <c r="I94" s="19" t="n">
        <v>0</v>
      </c>
      <c r="J94" s="19" t="n">
        <v>0</v>
      </c>
      <c r="K94" s="19" t="n">
        <v>0</v>
      </c>
      <c r="L94" s="19" t="n">
        <v>0</v>
      </c>
      <c r="M94" s="19" t="n">
        <v>0</v>
      </c>
      <c r="N94" s="19" t="n">
        <v>0</v>
      </c>
      <c r="O94" s="19" t="n">
        <v>0</v>
      </c>
      <c r="P94" s="54" t="n">
        <f aca="false">SUM(D94:O94)</f>
        <v>-323.197019079314</v>
      </c>
    </row>
    <row r="95" customFormat="false" ht="15" hidden="false" customHeight="false" outlineLevel="0" collapsed="false">
      <c r="A95" s="6" t="s">
        <v>1530</v>
      </c>
      <c r="B95" s="12" t="s">
        <v>1404</v>
      </c>
      <c r="D95" s="21" t="n">
        <f aca="false">D93+D94-E$68</f>
        <v>-39.7761187698284</v>
      </c>
      <c r="E95" s="21" t="n">
        <f aca="false">E93+E94-E$68</f>
        <v>-25.0876414807852</v>
      </c>
      <c r="F95" s="21" t="n">
        <f aca="false">F93+F94-E$68</f>
        <v>1.48515224767194</v>
      </c>
      <c r="G95" s="21" t="n">
        <f aca="false">G93+G94-E$68</f>
        <v>-150.301016415517</v>
      </c>
      <c r="H95" s="21" t="n">
        <f aca="false">H93+H94-E$68</f>
        <v>95.931034507182</v>
      </c>
      <c r="I95" s="21" t="n">
        <f aca="false">I93+I94-E$68</f>
        <v>120.894422660053</v>
      </c>
      <c r="J95" s="21" t="n">
        <f aca="false">J93+J94-E$68</f>
        <v>137.555146585851</v>
      </c>
      <c r="K95" s="21" t="n">
        <f aca="false">K93+K94-E$68</f>
        <v>150.634218299308</v>
      </c>
      <c r="L95" s="21" t="n">
        <f aca="false">L93+L94-E$68</f>
        <v>154.779708404411</v>
      </c>
      <c r="M95" s="21" t="n">
        <f aca="false">M93+M94-E$68</f>
        <v>158.925198509514</v>
      </c>
      <c r="N95" s="21" t="n">
        <f aca="false">N93+N94-E$68</f>
        <v>158.925198509514</v>
      </c>
      <c r="O95" s="21" t="n">
        <f aca="false">O93+O94-E$68</f>
        <v>158.925198509514</v>
      </c>
      <c r="P95" s="54" t="n">
        <f aca="false">SUM(D95:O95)</f>
        <v>922.890501566888</v>
      </c>
    </row>
    <row r="96" customFormat="false" ht="15" hidden="false" customHeight="false" outlineLevel="0" collapsed="false">
      <c r="A96" s="6" t="s">
        <v>1531</v>
      </c>
      <c r="B96" s="12" t="s">
        <v>1404</v>
      </c>
      <c r="D96" s="21" t="n">
        <f aca="false">D95</f>
        <v>-39.7761187698284</v>
      </c>
      <c r="E96" s="21" t="n">
        <f aca="false">D96+E95</f>
        <v>-64.8637602506136</v>
      </c>
      <c r="F96" s="21" t="n">
        <f aca="false">E96+F95</f>
        <v>-63.3786080029417</v>
      </c>
      <c r="G96" s="21" t="n">
        <f aca="false">F96+G95</f>
        <v>-213.679624418459</v>
      </c>
      <c r="H96" s="21" t="n">
        <f aca="false">G96+H95</f>
        <v>-117.748589911277</v>
      </c>
      <c r="I96" s="21" t="n">
        <f aca="false">H96+I95</f>
        <v>3.1458327487758</v>
      </c>
      <c r="J96" s="21" t="n">
        <f aca="false">I96+J95</f>
        <v>140.700979334627</v>
      </c>
      <c r="K96" s="21" t="n">
        <f aca="false">J96+K95</f>
        <v>291.335197633935</v>
      </c>
      <c r="L96" s="21" t="n">
        <f aca="false">K96+L95</f>
        <v>446.114906038346</v>
      </c>
      <c r="M96" s="21" t="n">
        <f aca="false">L96+M95</f>
        <v>605.04010454786</v>
      </c>
      <c r="N96" s="21" t="n">
        <f aca="false">M96+N95</f>
        <v>763.965303057374</v>
      </c>
      <c r="O96" s="21" t="n">
        <f aca="false">N96+O95</f>
        <v>922.890501566888</v>
      </c>
    </row>
    <row r="97" customFormat="false" ht="15" hidden="false" customHeight="false" outlineLevel="0" collapsed="false">
      <c r="A97" s="3" t="s">
        <v>1532</v>
      </c>
      <c r="B97" s="42" t="s">
        <v>1404</v>
      </c>
      <c r="D97" s="55" t="str">
        <f aca="false">IF(AND(D96&gt;=0,D95&gt;0),1,"")</f>
        <v/>
      </c>
      <c r="E97" s="55" t="str">
        <f aca="false">IF(AND(E96&gt;=0,E95&gt;0),2,"")</f>
        <v/>
      </c>
      <c r="F97" s="55" t="str">
        <f aca="false">IF(AND(F96&gt;=0,F95&gt;0),3,"")</f>
        <v/>
      </c>
      <c r="G97" s="55" t="str">
        <f aca="false">IF(AND(G96&gt;=0,G95&gt;0),4,"")</f>
        <v/>
      </c>
      <c r="H97" s="55" t="str">
        <f aca="false">IF(AND(H96&gt;=0,H95&gt;0),5,"")</f>
        <v/>
      </c>
      <c r="I97" s="55" t="n">
        <f aca="false">IF(AND(I96&gt;=0,I95&gt;0),6,"")</f>
        <v>6</v>
      </c>
      <c r="J97" s="55" t="n">
        <f aca="false">IF(AND(J96&gt;=0,J95&gt;0),7,"")</f>
        <v>7</v>
      </c>
      <c r="K97" s="55" t="n">
        <f aca="false">IF(AND(K96&gt;=0,K95&gt;0),8,"")</f>
        <v>8</v>
      </c>
      <c r="L97" s="55" t="n">
        <f aca="false">IF(AND(L96&gt;=0,L95&gt;0),9,"")</f>
        <v>9</v>
      </c>
      <c r="M97" s="55" t="n">
        <f aca="false">IF(AND(M96&gt;=0,M95&gt;0),10,"")</f>
        <v>10</v>
      </c>
      <c r="N97" s="55" t="n">
        <f aca="false">IF(AND(N96&gt;=0,N95&gt;0),11,"")</f>
        <v>11</v>
      </c>
      <c r="O97" s="55" t="n">
        <f aca="false">IF(AND(O96&gt;=0,O95&gt;0),12,"")</f>
        <v>12</v>
      </c>
    </row>
    <row r="100" customFormat="false" ht="15" hidden="false" customHeight="false" outlineLevel="0" collapsed="false">
      <c r="A100" s="4" t="s">
        <v>1533</v>
      </c>
    </row>
    <row r="101" customFormat="false" ht="36" hidden="false" customHeight="true" outlineLevel="0" collapsed="false">
      <c r="A101" s="5" t="s">
        <v>1482</v>
      </c>
      <c r="B101" s="5" t="s">
        <v>1534</v>
      </c>
      <c r="C101" s="5" t="s">
        <v>1535</v>
      </c>
      <c r="D101" s="5" t="s">
        <v>1536</v>
      </c>
      <c r="E101" s="5" t="s">
        <v>1537</v>
      </c>
      <c r="F101" s="5" t="s">
        <v>1538</v>
      </c>
      <c r="G101" s="5" t="s">
        <v>1539</v>
      </c>
      <c r="H101" s="5" t="s">
        <v>1540</v>
      </c>
      <c r="I101" s="5" t="s">
        <v>1541</v>
      </c>
      <c r="J101" s="5" t="s">
        <v>1542</v>
      </c>
      <c r="K101" s="5"/>
      <c r="L101" s="5"/>
      <c r="M101" s="5"/>
      <c r="N101" s="5"/>
    </row>
    <row r="102" customFormat="false" ht="61.5" hidden="false" customHeight="true" outlineLevel="0" collapsed="false">
      <c r="A102" s="47" t="s">
        <v>1543</v>
      </c>
      <c r="B102" s="35" t="n">
        <f aca="false">($D$23)*(1-$D$14)*12/100</f>
        <v>4.09759147812622</v>
      </c>
      <c r="C102" s="19" t="n">
        <f aca="false">$D$54</f>
        <v>6.6</v>
      </c>
      <c r="D102" s="19" t="n">
        <f aca="false">$D$65</f>
        <v>0.8</v>
      </c>
      <c r="E102" s="19" t="n">
        <f aca="false">IF(B102&gt;0,C102/(B102*100/12),99)</f>
        <v>0.193284275464711</v>
      </c>
      <c r="F102" s="8" t="s">
        <v>1544</v>
      </c>
      <c r="G102" s="8" t="s">
        <v>1545</v>
      </c>
      <c r="H102" s="8" t="s">
        <v>1546</v>
      </c>
      <c r="I102" s="8" t="s">
        <v>1547</v>
      </c>
      <c r="J102" s="8" t="s">
        <v>1548</v>
      </c>
      <c r="K102" s="8"/>
      <c r="L102" s="8"/>
      <c r="M102" s="8"/>
      <c r="N102" s="8"/>
    </row>
    <row r="103" customFormat="false" ht="61.5" hidden="false" customHeight="true" outlineLevel="0" collapsed="false">
      <c r="A103" s="47" t="s">
        <v>1549</v>
      </c>
      <c r="B103" s="35" t="n">
        <f aca="false">($D$24)*(1-$D$14)*12/100</f>
        <v>3.08754233488427</v>
      </c>
      <c r="C103" s="19" t="n">
        <f aca="false">$D$55</f>
        <v>8.8</v>
      </c>
      <c r="D103" s="19" t="n">
        <f aca="false">$D$66</f>
        <v>1.2</v>
      </c>
      <c r="E103" s="19" t="n">
        <f aca="false">IF(B103&gt;0,C103/(B103*100/12),99)</f>
        <v>0.342019601826636</v>
      </c>
      <c r="F103" s="8" t="s">
        <v>1550</v>
      </c>
      <c r="G103" s="8" t="s">
        <v>1551</v>
      </c>
      <c r="H103" s="8" t="s">
        <v>1552</v>
      </c>
      <c r="I103" s="8" t="s">
        <v>1553</v>
      </c>
      <c r="J103" s="8" t="s">
        <v>1554</v>
      </c>
      <c r="K103" s="8"/>
      <c r="L103" s="8"/>
      <c r="M103" s="8"/>
      <c r="N103" s="8"/>
    </row>
    <row r="104" customFormat="false" ht="61.5" hidden="false" customHeight="true" outlineLevel="0" collapsed="false">
      <c r="A104" s="47" t="s">
        <v>1555</v>
      </c>
      <c r="B104" s="35" t="n">
        <f aca="false">($D$25+$D$26)*(1-$D$14)*12/100</f>
        <v>3.46101158056743</v>
      </c>
      <c r="C104" s="19" t="n">
        <f aca="false">$D$56+$D$57+$D$58</f>
        <v>24.0821068499873</v>
      </c>
      <c r="D104" s="19" t="n">
        <f aca="false">$D$67</f>
        <v>0.8</v>
      </c>
      <c r="E104" s="19" t="n">
        <f aca="false">IF(B104&gt;0,C104/(B104*100/12),99)</f>
        <v>0.834973462158911</v>
      </c>
      <c r="F104" s="8" t="s">
        <v>1556</v>
      </c>
      <c r="G104" s="8" t="s">
        <v>1557</v>
      </c>
      <c r="H104" s="8" t="s">
        <v>1558</v>
      </c>
      <c r="I104" s="8" t="s">
        <v>1559</v>
      </c>
      <c r="J104" s="8" t="s">
        <v>1560</v>
      </c>
      <c r="K104" s="8"/>
      <c r="L104" s="8"/>
      <c r="M104" s="8"/>
      <c r="N104" s="8"/>
    </row>
    <row r="105" customFormat="false" ht="61.5" hidden="false" customHeight="true" outlineLevel="0" collapsed="false">
      <c r="A105" s="47" t="s">
        <v>1561</v>
      </c>
      <c r="B105" s="35" t="n">
        <f aca="false">($D$27)*(1-$D$14)*12/100</f>
        <v>2.06464108693251</v>
      </c>
      <c r="C105" s="19" t="n">
        <f aca="false">$D$59</f>
        <v>69.6033271248262</v>
      </c>
      <c r="D105" s="19" t="n">
        <v>0</v>
      </c>
      <c r="E105" s="19" t="n">
        <f aca="false">IF(B105&gt;0,C105/(B105*100/12),99)</f>
        <v>4.04544853235897</v>
      </c>
      <c r="F105" s="8" t="s">
        <v>1562</v>
      </c>
      <c r="G105" s="8" t="s">
        <v>1563</v>
      </c>
      <c r="H105" s="8" t="s">
        <v>1564</v>
      </c>
      <c r="I105" s="8" t="s">
        <v>1565</v>
      </c>
      <c r="J105" s="8" t="s">
        <v>1566</v>
      </c>
      <c r="K105" s="8"/>
      <c r="L105" s="8"/>
      <c r="M105" s="8"/>
      <c r="N105" s="8"/>
    </row>
    <row r="106" customFormat="false" ht="61.5" hidden="false" customHeight="true" outlineLevel="0" collapsed="false">
      <c r="A106" s="47" t="s">
        <v>1567</v>
      </c>
      <c r="B106" s="35" t="n">
        <f aca="false">($D$29)*12/100</f>
        <v>2.86406804652625</v>
      </c>
      <c r="C106" s="19" t="n">
        <f aca="false">$D$60</f>
        <v>187.292544</v>
      </c>
      <c r="D106" s="19" t="n">
        <v>0</v>
      </c>
      <c r="E106" s="19" t="n">
        <f aca="false">IF(B106&gt;0,C106/(B106*100/12),99)</f>
        <v>7.84726651563306</v>
      </c>
      <c r="F106" s="8" t="s">
        <v>1568</v>
      </c>
      <c r="G106" s="8" t="s">
        <v>1569</v>
      </c>
      <c r="H106" s="8" t="s">
        <v>1570</v>
      </c>
      <c r="I106" s="8" t="s">
        <v>1571</v>
      </c>
      <c r="J106" s="8" t="s">
        <v>1572</v>
      </c>
      <c r="K106" s="8"/>
      <c r="L106" s="8"/>
      <c r="M106" s="8"/>
      <c r="N106" s="8"/>
    </row>
    <row r="107" customFormat="false" ht="15" hidden="false" customHeight="false" outlineLevel="0" collapsed="false">
      <c r="A107" s="6" t="s">
        <v>1573</v>
      </c>
      <c r="B107" s="52" t="n">
        <f aca="false">SUM(B102:B106)</f>
        <v>15.5748545270367</v>
      </c>
      <c r="C107" s="21" t="n">
        <f aca="false">SUM(C102:C106)</f>
        <v>296.377977974813</v>
      </c>
    </row>
    <row r="108" customFormat="false" ht="15" hidden="false" customHeight="false" outlineLevel="0" collapsed="false">
      <c r="A108" s="12" t="s">
        <v>1574</v>
      </c>
      <c r="C108" s="19" t="n">
        <f aca="false">$D$61</f>
        <v>13.2</v>
      </c>
      <c r="D108" s="19" t="n">
        <f aca="false">$D$64</f>
        <v>3</v>
      </c>
    </row>
    <row r="109" customFormat="false" ht="15" hidden="false" customHeight="false" outlineLevel="0" collapsed="false">
      <c r="A109" s="3" t="s">
        <v>1575</v>
      </c>
      <c r="B109" s="41" t="n">
        <f aca="false">B107-SUM(D102:D108)*12/100-$D$32</f>
        <v>0</v>
      </c>
      <c r="C109" s="2" t="str">
        <f aca="false">IF(ABS(B109)&lt;0.01,"PASS","FAIL")</f>
        <v>PASS</v>
      </c>
    </row>
    <row r="112" customFormat="false" ht="15" hidden="false" customHeight="false" outlineLevel="0" collapsed="false">
      <c r="A112" s="4" t="s">
        <v>1576</v>
      </c>
    </row>
    <row r="113" customFormat="false" ht="30" hidden="false" customHeight="true" outlineLevel="0" collapsed="false">
      <c r="A113" s="47" t="s">
        <v>1577</v>
      </c>
      <c r="B113" s="8" t="s">
        <v>1578</v>
      </c>
      <c r="C113" s="8"/>
      <c r="D113" s="8"/>
      <c r="E113" s="8"/>
      <c r="F113" s="8"/>
      <c r="G113" s="8"/>
      <c r="H113" s="8"/>
      <c r="I113" s="8"/>
      <c r="J113" s="8"/>
      <c r="K113" s="8"/>
    </row>
    <row r="114" customFormat="false" ht="30" hidden="false" customHeight="true" outlineLevel="0" collapsed="false">
      <c r="A114" s="47" t="s">
        <v>1579</v>
      </c>
      <c r="B114" s="8" t="s">
        <v>1580</v>
      </c>
      <c r="C114" s="8"/>
      <c r="D114" s="8"/>
      <c r="E114" s="8"/>
      <c r="F114" s="8"/>
      <c r="G114" s="8"/>
      <c r="H114" s="8"/>
      <c r="I114" s="8"/>
      <c r="J114" s="8"/>
      <c r="K114" s="8"/>
    </row>
    <row r="115" customFormat="false" ht="30" hidden="false" customHeight="true" outlineLevel="0" collapsed="false">
      <c r="A115" s="47" t="s">
        <v>1581</v>
      </c>
      <c r="B115" s="8" t="s">
        <v>1582</v>
      </c>
      <c r="C115" s="8"/>
      <c r="D115" s="8"/>
      <c r="E115" s="8"/>
      <c r="F115" s="8"/>
      <c r="G115" s="8"/>
      <c r="H115" s="8"/>
      <c r="I115" s="8"/>
      <c r="J115" s="8"/>
      <c r="K115" s="8"/>
    </row>
    <row r="116" customFormat="false" ht="30" hidden="false" customHeight="true" outlineLevel="0" collapsed="false">
      <c r="A116" s="47" t="s">
        <v>1583</v>
      </c>
      <c r="B116" s="8" t="s">
        <v>1584</v>
      </c>
      <c r="C116" s="8"/>
      <c r="D116" s="8"/>
      <c r="E116" s="8"/>
      <c r="F116" s="8"/>
      <c r="G116" s="8"/>
      <c r="H116" s="8"/>
      <c r="I116" s="8"/>
      <c r="J116" s="8"/>
      <c r="K116" s="8"/>
    </row>
    <row r="117" customFormat="false" ht="30" hidden="false" customHeight="true" outlineLevel="0" collapsed="false">
      <c r="A117" s="47" t="s">
        <v>1585</v>
      </c>
      <c r="B117" s="8" t="s">
        <v>1586</v>
      </c>
      <c r="C117" s="8"/>
      <c r="D117" s="8"/>
      <c r="E117" s="8"/>
      <c r="F117" s="8"/>
      <c r="G117" s="8"/>
      <c r="H117" s="8"/>
      <c r="I117" s="8"/>
      <c r="J117" s="8"/>
      <c r="K117" s="8"/>
    </row>
    <row r="118" customFormat="false" ht="30" hidden="false" customHeight="true" outlineLevel="0" collapsed="false">
      <c r="A118" s="47" t="s">
        <v>1587</v>
      </c>
      <c r="B118" s="8" t="s">
        <v>1588</v>
      </c>
      <c r="C118" s="8"/>
      <c r="D118" s="8"/>
      <c r="E118" s="8"/>
      <c r="F118" s="8"/>
      <c r="G118" s="8"/>
      <c r="H118" s="8"/>
      <c r="I118" s="8"/>
      <c r="J118" s="8"/>
      <c r="K118" s="8"/>
    </row>
    <row r="121" customFormat="false" ht="15" hidden="false" customHeight="false" outlineLevel="0" collapsed="false">
      <c r="A121" s="4" t="s">
        <v>1589</v>
      </c>
    </row>
    <row r="122" customFormat="false" ht="19.5" hidden="false" customHeight="true" outlineLevel="0" collapsed="false">
      <c r="A122" s="5" t="s">
        <v>133</v>
      </c>
      <c r="B122" s="5" t="s">
        <v>1590</v>
      </c>
      <c r="C122" s="5" t="s">
        <v>1591</v>
      </c>
      <c r="D122" s="5"/>
      <c r="E122" s="5"/>
      <c r="F122" s="5"/>
      <c r="G122" s="5"/>
      <c r="H122" s="5"/>
    </row>
    <row r="123" customFormat="false" ht="15" hidden="false" customHeight="false" outlineLevel="0" collapsed="false">
      <c r="A123" s="12" t="s">
        <v>1592</v>
      </c>
      <c r="B123" s="35" t="n">
        <f aca="false">$D$32</f>
        <v>14.8788545270367</v>
      </c>
      <c r="C123" s="42" t="s">
        <v>1593</v>
      </c>
    </row>
    <row r="124" customFormat="false" ht="15" hidden="false" customHeight="false" outlineLevel="0" collapsed="false">
      <c r="A124" s="12" t="s">
        <v>1594</v>
      </c>
      <c r="B124" s="36" t="n">
        <v>0</v>
      </c>
      <c r="C124" s="42" t="s">
        <v>1595</v>
      </c>
    </row>
    <row r="125" customFormat="false" ht="15" hidden="false" customHeight="false" outlineLevel="0" collapsed="false">
      <c r="A125" s="12" t="s">
        <v>1596</v>
      </c>
      <c r="B125" s="36" t="n">
        <v>0</v>
      </c>
      <c r="C125" s="42" t="s">
        <v>1597</v>
      </c>
    </row>
    <row r="173" customFormat="false" ht="15" hidden="false" customHeight="false" outlineLevel="0" collapsed="false">
      <c r="A173" s="4" t="s">
        <v>1598</v>
      </c>
    </row>
    <row r="175" customFormat="false" ht="66" hidden="false" customHeight="true" outlineLevel="0" collapsed="false">
      <c r="A175" s="5" t="s">
        <v>344</v>
      </c>
      <c r="B175" s="5" t="s">
        <v>1599</v>
      </c>
      <c r="C175" s="5" t="s">
        <v>1600</v>
      </c>
      <c r="D175" s="5" t="s">
        <v>1601</v>
      </c>
      <c r="E175" s="5" t="s">
        <v>1602</v>
      </c>
      <c r="F175" s="5" t="s">
        <v>1603</v>
      </c>
      <c r="G175" s="5" t="s">
        <v>1604</v>
      </c>
      <c r="H175" s="5" t="s">
        <v>1605</v>
      </c>
      <c r="I175" s="5" t="s">
        <v>1606</v>
      </c>
      <c r="J175" s="5" t="s">
        <v>1360</v>
      </c>
      <c r="K175" s="5" t="s">
        <v>1607</v>
      </c>
      <c r="L175" s="5" t="s">
        <v>1206</v>
      </c>
      <c r="M175" s="5" t="s">
        <v>1224</v>
      </c>
      <c r="N175" s="5" t="s">
        <v>1608</v>
      </c>
      <c r="O175" s="5" t="s">
        <v>1378</v>
      </c>
      <c r="P175" s="5" t="s">
        <v>1609</v>
      </c>
      <c r="Q175" s="5" t="s">
        <v>1381</v>
      </c>
      <c r="R175" s="5" t="s">
        <v>1382</v>
      </c>
      <c r="S175" s="5" t="s">
        <v>1385</v>
      </c>
      <c r="T175" s="5" t="s">
        <v>1610</v>
      </c>
      <c r="U175" s="5" t="s">
        <v>1611</v>
      </c>
      <c r="V175" s="5" t="s">
        <v>1612</v>
      </c>
      <c r="W175" s="5" t="s">
        <v>1613</v>
      </c>
      <c r="X175" s="5" t="s">
        <v>1614</v>
      </c>
      <c r="Y175" s="5" t="s">
        <v>1615</v>
      </c>
      <c r="Z175" s="5" t="s">
        <v>1616</v>
      </c>
      <c r="AA175" s="5" t="s">
        <v>1617</v>
      </c>
      <c r="AB175" s="5" t="s">
        <v>1618</v>
      </c>
      <c r="AC175" s="5" t="s">
        <v>1619</v>
      </c>
      <c r="AD175" s="5" t="s">
        <v>1620</v>
      </c>
      <c r="AE175" s="5" t="s">
        <v>1621</v>
      </c>
      <c r="AF175" s="5" t="s">
        <v>1622</v>
      </c>
      <c r="AG175" s="5" t="s">
        <v>1623</v>
      </c>
      <c r="AH175" s="5" t="s">
        <v>1624</v>
      </c>
      <c r="AI175" s="5" t="s">
        <v>1625</v>
      </c>
      <c r="AJ175" s="5" t="s">
        <v>1626</v>
      </c>
      <c r="AK175" s="5" t="s">
        <v>1627</v>
      </c>
      <c r="AL175" s="5" t="s">
        <v>1628</v>
      </c>
    </row>
    <row r="176" customFormat="false" ht="15" hidden="false" customHeight="false" outlineLevel="0" collapsed="false">
      <c r="A176" s="48" t="str">
        <f aca="false">'Diagnosis &amp; Store Segmentation'!A106</f>
        <v>DS001</v>
      </c>
      <c r="B176" s="48" t="str">
        <f aca="false">'Diagnosis &amp; Store Segmentation'!BK106</f>
        <v>Close</v>
      </c>
      <c r="C176" s="40" t="n">
        <f aca="false">'Diagnosis &amp; Store Segmentation'!O106</f>
        <v>-5.67919334642049</v>
      </c>
      <c r="D176" s="40" t="n">
        <f aca="false">'Diagnosis &amp; Store Segmentation'!AH106</f>
        <v>0.282711588605856</v>
      </c>
      <c r="E176" s="40" t="n">
        <f aca="false">'Diagnosis &amp; Store Segmentation'!AI106</f>
        <v>1.62416885811622</v>
      </c>
      <c r="F176" s="40" t="n">
        <f aca="false">'Diagnosis &amp; Store Segmentation'!AK106</f>
        <v>1.05960582292598</v>
      </c>
      <c r="G176" s="40" t="n">
        <f aca="false">'Diagnosis &amp; Store Segmentation'!AM106</f>
        <v>0.769883434233513</v>
      </c>
      <c r="H176" s="40" t="n">
        <f aca="false">'Diagnosis &amp; Store Segmentation'!AO106</f>
        <v>0.901611645473652</v>
      </c>
      <c r="I176" s="40" t="n">
        <f aca="false">'Diagnosis &amp; Store Segmentation'!AV106</f>
        <v>0</v>
      </c>
      <c r="J176" s="40" t="n">
        <f aca="false">'Diagnosis &amp; Store Segmentation'!AL106</f>
        <v>3.63306797335432</v>
      </c>
      <c r="K176" s="39" t="n">
        <f aca="false">'Diagnosis &amp; Store Segmentation'!AR106*'Diagnosis &amp; Store Segmentation'!AU106</f>
        <v>0</v>
      </c>
      <c r="L176" s="39" t="n">
        <f aca="false">'Diagnosis &amp; Store Segmentation'!E106</f>
        <v>472.021739130435</v>
      </c>
      <c r="M176" s="40" t="n">
        <f aca="false">'Diagnosis &amp; Store Segmentation'!F106</f>
        <v>80.0151629618</v>
      </c>
      <c r="N176" s="40" t="n">
        <f aca="false">'Diagnosis &amp; Store Segmentation'!AG106*100*'Diagnosis &amp; Store Segmentation'!F106</f>
        <v>26.6276736051409</v>
      </c>
      <c r="O176" s="39" t="n">
        <f aca="false">'Diagnosis &amp; Store Segmentation'!BE106</f>
        <v>399.956521739131</v>
      </c>
      <c r="P176" s="40" t="n">
        <f aca="false">'Diagnosis &amp; Store Segmentation'!T106</f>
        <v>1</v>
      </c>
      <c r="Q176" s="40" t="n">
        <f aca="false">'Diagnosis &amp; Store Segmentation'!BH106</f>
        <v>49.041504</v>
      </c>
      <c r="R176" s="40" t="n">
        <f aca="false">'Diagnosis &amp; Store Segmentation'!BI106</f>
        <v>87.4285714285714</v>
      </c>
      <c r="S176" s="48" t="str">
        <f aca="false">'Diagnosis &amp; Store Segmentation'!BL106</f>
        <v>Scale</v>
      </c>
      <c r="T176" s="40" t="n">
        <f aca="false">INDEX('Diagnosis &amp; Store Segmentation'!$O$106:$O$165,MATCH('Diagnosis &amp; Store Segmentation'!BC106,'Diagnosis &amp; Store Segmentation'!$A$106:$A$165,0))</f>
        <v>7.93869642213546</v>
      </c>
      <c r="U176" s="40" t="n">
        <f aca="false">IF(P176&lt;='Assumptions &amp; Data'!$C$74,MIN($C$13*L176,O176),0)</f>
        <v>212.409782608696</v>
      </c>
      <c r="V176" s="40" t="n">
        <f aca="false">-C176+U176*'Assumptions &amp; Data'!$C$63/'Assumptions &amp; Data'!$C$85*('Diagnosis &amp; Store Segmentation'!$B$12-'Assumptions &amp; Data'!$C$71)/100000</f>
        <v>9.24470894604723</v>
      </c>
      <c r="W176" s="40" t="n">
        <f aca="false">IF(V176&gt;0,Q176/V176,99)</f>
        <v>5.30481860339894</v>
      </c>
      <c r="X176" s="40" t="n">
        <f aca="false">IF(AND(B176="Close",U176&gt;0,W176&lt;=$C$12,OR(S176&lt;&gt;"Close",C176&lt;T176)),1,0)</f>
        <v>1</v>
      </c>
      <c r="Y176" s="40" t="n">
        <f aca="false">(1-X176)*($C$6*(D176-$C$7*E176)+$C$8*F176+$C$9*G176+$C$10*H176+$C$11*I176)</f>
        <v>0</v>
      </c>
      <c r="Z176" s="40" t="str">
        <f aca="false">IF(X176=1,"closed",C176+Y176*(1-$C$14))</f>
        <v>closed</v>
      </c>
      <c r="AA176" s="40" t="n">
        <f aca="false">IF(P176&lt;='Assumptions &amp; Data'!$C$74,MIN($D$13*L176,O176),0)</f>
        <v>283.213043478261</v>
      </c>
      <c r="AB176" s="40" t="n">
        <f aca="false">-C176+AA176*'Assumptions &amp; Data'!$C$63/'Assumptions &amp; Data'!$C$85*('Diagnosis &amp; Store Segmentation'!$B$12-'Assumptions &amp; Data'!$C$71)/100000</f>
        <v>10.4332141459228</v>
      </c>
      <c r="AC176" s="40" t="n">
        <f aca="false">IF(AB176&gt;0,Q176/AB176,99)</f>
        <v>4.70051733953576</v>
      </c>
      <c r="AD176" s="40" t="n">
        <f aca="false">IF(AND(B176="Close",AA176&gt;0,AC176&lt;=$D$12,OR(S176&lt;&gt;"Close",C176&lt;T176)),1,0)</f>
        <v>1</v>
      </c>
      <c r="AE176" s="40" t="n">
        <f aca="false">(1-AD176)*($D$6*(D176-$D$7*E176)+$D$8*F176+$D$9*G176+$D$10*H176+$D$11*I176)</f>
        <v>0</v>
      </c>
      <c r="AF176" s="40" t="str">
        <f aca="false">IF(AD176=1,"closed",C176+AE176*(1-$D$14))</f>
        <v>closed</v>
      </c>
      <c r="AG176" s="40" t="n">
        <f aca="false">IF(P176&lt;='Assumptions &amp; Data'!$C$74,MIN($E$13*L176,O176),0)</f>
        <v>330.415217391304</v>
      </c>
      <c r="AH176" s="40" t="n">
        <f aca="false">-C176+AG176*'Assumptions &amp; Data'!$C$63/'Assumptions &amp; Data'!$C$85*('Diagnosis &amp; Store Segmentation'!$B$12-'Assumptions &amp; Data'!$C$71)/100000</f>
        <v>11.2255509458399</v>
      </c>
      <c r="AI176" s="40" t="n">
        <f aca="false">IF(AH176&gt;0,Q176/AH176,99)</f>
        <v>4.36873915913896</v>
      </c>
      <c r="AJ176" s="40" t="n">
        <f aca="false">IF(AND(B176="Close",AG176&gt;0,AI176&lt;=$E$12,OR(S176&lt;&gt;"Close",C176&lt;T176)),1,0)</f>
        <v>1</v>
      </c>
      <c r="AK176" s="40" t="n">
        <f aca="false">(1-AJ176)*($E$6*(D176-$E$7*E176)+$E$8*F176+$E$9*G176+$E$10*H176+$E$11*I176)</f>
        <v>0</v>
      </c>
      <c r="AL176" s="40" t="str">
        <f aca="false">IF(AJ176=1,"closed",C176+AK176*(1-$E$14))</f>
        <v>closed</v>
      </c>
    </row>
    <row r="177" customFormat="false" ht="15" hidden="false" customHeight="false" outlineLevel="0" collapsed="false">
      <c r="A177" s="48" t="str">
        <f aca="false">'Diagnosis &amp; Store Segmentation'!A107</f>
        <v>DS002</v>
      </c>
      <c r="B177" s="48" t="str">
        <f aca="false">'Diagnosis &amp; Store Segmentation'!BK107</f>
        <v>Scale</v>
      </c>
      <c r="C177" s="40" t="n">
        <f aca="false">'Diagnosis &amp; Store Segmentation'!O107</f>
        <v>4.74604656692946</v>
      </c>
      <c r="D177" s="40" t="n">
        <f aca="false">'Diagnosis &amp; Store Segmentation'!AH107</f>
        <v>2.88948338960555</v>
      </c>
      <c r="E177" s="40" t="n">
        <f aca="false">'Diagnosis &amp; Store Segmentation'!AI107</f>
        <v>26.8336797826088</v>
      </c>
      <c r="F177" s="40" t="n">
        <f aca="false">'Diagnosis &amp; Store Segmentation'!AK107</f>
        <v>0</v>
      </c>
      <c r="G177" s="40" t="n">
        <f aca="false">'Diagnosis &amp; Store Segmentation'!AM107</f>
        <v>0</v>
      </c>
      <c r="H177" s="40" t="n">
        <f aca="false">'Diagnosis &amp; Store Segmentation'!AO107</f>
        <v>0</v>
      </c>
      <c r="I177" s="40" t="n">
        <f aca="false">'Diagnosis &amp; Store Segmentation'!AV107</f>
        <v>0</v>
      </c>
      <c r="J177" s="40" t="n">
        <f aca="false">'Diagnosis &amp; Store Segmentation'!AL107</f>
        <v>0</v>
      </c>
      <c r="K177" s="39" t="n">
        <f aca="false">'Diagnosis &amp; Store Segmentation'!AR107*'Diagnosis &amp; Store Segmentation'!AU107</f>
        <v>0</v>
      </c>
      <c r="L177" s="39" t="n">
        <f aca="false">'Diagnosis &amp; Store Segmentation'!E107</f>
        <v>735.347826086957</v>
      </c>
      <c r="M177" s="40" t="n">
        <f aca="false">'Diagnosis &amp; Store Segmentation'!F107</f>
        <v>131.7317963034</v>
      </c>
      <c r="N177" s="40" t="n">
        <f aca="false">'Diagnosis &amp; Store Segmentation'!AG107*100*'Diagnosis &amp; Store Segmentation'!F107</f>
        <v>267.250466039829</v>
      </c>
      <c r="O177" s="39" t="n">
        <f aca="false">'Diagnosis &amp; Store Segmentation'!BE107</f>
        <v>254.315217391304</v>
      </c>
      <c r="P177" s="40" t="n">
        <f aca="false">'Diagnosis &amp; Store Segmentation'!T107</f>
        <v>1</v>
      </c>
      <c r="Q177" s="40" t="n">
        <f aca="false">'Diagnosis &amp; Store Segmentation'!BH107</f>
        <v>53.345739</v>
      </c>
      <c r="R177" s="40" t="n">
        <f aca="false">'Diagnosis &amp; Store Segmentation'!BI107</f>
        <v>57.0714285714286</v>
      </c>
      <c r="S177" s="48" t="str">
        <f aca="false">'Diagnosis &amp; Store Segmentation'!BL107</f>
        <v>Optimise</v>
      </c>
      <c r="T177" s="40" t="n">
        <f aca="false">INDEX('Diagnosis &amp; Store Segmentation'!$O$106:$O$165,MATCH('Diagnosis &amp; Store Segmentation'!BC107,'Diagnosis &amp; Store Segmentation'!$A$106:$A$165,0))</f>
        <v>5.79883018179855</v>
      </c>
      <c r="U177" s="40" t="n">
        <f aca="false">IF(P177&lt;='Assumptions &amp; Data'!$C$74,MIN($C$13*L177,O177),0)</f>
        <v>254.315217391304</v>
      </c>
      <c r="V177" s="40" t="n">
        <f aca="false">-C177+U177*'Assumptions &amp; Data'!$C$63/'Assumptions &amp; Data'!$C$85*('Diagnosis &amp; Store Segmentation'!$B$12-'Assumptions &amp; Data'!$C$71)/100000</f>
        <v>-0.477105354830882</v>
      </c>
      <c r="W177" s="40" t="n">
        <f aca="false">IF(V177&gt;0,Q177/V177,99)</f>
        <v>99</v>
      </c>
      <c r="X177" s="40" t="n">
        <f aca="false">IF(AND(B177="Close",U177&gt;0,W177&lt;=$C$12,OR(S177&lt;&gt;"Close",C177&lt;T177)),1,0)</f>
        <v>0</v>
      </c>
      <c r="Y177" s="40" t="n">
        <f aca="false">(1-X177)*($C$6*(D177-$C$7*E177)+$C$8*F177+$C$9*G177+$C$10*H177+$C$11*I177)</f>
        <v>1.24348909643321</v>
      </c>
      <c r="Z177" s="40" t="n">
        <f aca="false">IF(X177=1,"closed",C177+Y177*(1-$C$14))</f>
        <v>5.84031697179069</v>
      </c>
      <c r="AA177" s="40" t="n">
        <f aca="false">IF(P177&lt;='Assumptions &amp; Data'!$C$74,MIN($D$13*L177,O177),0)</f>
        <v>254.315217391304</v>
      </c>
      <c r="AB177" s="40" t="n">
        <f aca="false">-C177+AA177*'Assumptions &amp; Data'!$C$63/'Assumptions &amp; Data'!$C$85*('Diagnosis &amp; Store Segmentation'!$B$12-'Assumptions &amp; Data'!$C$71)/100000</f>
        <v>-0.477105354830882</v>
      </c>
      <c r="AC177" s="40" t="n">
        <f aca="false">IF(AB177&gt;0,Q177/AB177,99)</f>
        <v>99</v>
      </c>
      <c r="AD177" s="40" t="n">
        <f aca="false">IF(AND(B177="Close",AA177&gt;0,AC177&lt;=$D$12,OR(S177&lt;&gt;"Close",C177&lt;T177)),1,0)</f>
        <v>0</v>
      </c>
      <c r="AE177" s="40" t="n">
        <f aca="false">(1-AD177)*($D$6*(D177-$D$7*E177)+$D$8*F177+$D$9*G177+$D$10*H177+$D$11*I177)</f>
        <v>1.83480261424562</v>
      </c>
      <c r="AF177" s="40" t="n">
        <f aca="false">IF(AD177=1,"closed",C177+AE177*(1-$D$14))</f>
        <v>6.43406497203543</v>
      </c>
      <c r="AG177" s="40" t="n">
        <f aca="false">IF(P177&lt;='Assumptions &amp; Data'!$C$74,MIN($E$13*L177,O177),0)</f>
        <v>254.315217391304</v>
      </c>
      <c r="AH177" s="40" t="n">
        <f aca="false">-C177+AG177*'Assumptions &amp; Data'!$C$63/'Assumptions &amp; Data'!$C$85*('Diagnosis &amp; Store Segmentation'!$B$12-'Assumptions &amp; Data'!$C$71)/100000</f>
        <v>-0.477105354830882</v>
      </c>
      <c r="AI177" s="40" t="n">
        <f aca="false">IF(AH177&gt;0,Q177/AH177,99)</f>
        <v>99</v>
      </c>
      <c r="AJ177" s="40" t="n">
        <f aca="false">IF(AND(B177="Close",AG177&gt;0,AI177&lt;=$E$12,OR(S177&lt;&gt;"Close",C177&lt;T177)),1,0)</f>
        <v>0</v>
      </c>
      <c r="AK177" s="40" t="n">
        <f aca="false">(1-AJ177)*($E$6*(D177-$E$7*E177)+$E$8*F177+$E$9*G177+$E$10*H177+$E$11*I177)</f>
        <v>2.29640048645819</v>
      </c>
      <c r="AL177" s="40" t="n">
        <f aca="false">IF(AJ177=1,"closed",C177+AK177*(1-$E$14))</f>
        <v>6.92762702906475</v>
      </c>
    </row>
    <row r="178" customFormat="false" ht="15" hidden="false" customHeight="false" outlineLevel="0" collapsed="false">
      <c r="A178" s="48" t="str">
        <f aca="false">'Diagnosis &amp; Store Segmentation'!A108</f>
        <v>DS003</v>
      </c>
      <c r="B178" s="48" t="str">
        <f aca="false">'Diagnosis &amp; Store Segmentation'!BK108</f>
        <v>Scale</v>
      </c>
      <c r="C178" s="40" t="n">
        <f aca="false">'Diagnosis &amp; Store Segmentation'!O108</f>
        <v>7.68757747130475</v>
      </c>
      <c r="D178" s="40" t="n">
        <f aca="false">'Diagnosis &amp; Store Segmentation'!AH108</f>
        <v>0</v>
      </c>
      <c r="E178" s="40" t="n">
        <f aca="false">'Diagnosis &amp; Store Segmentation'!AI108</f>
        <v>0</v>
      </c>
      <c r="F178" s="40" t="n">
        <f aca="false">'Diagnosis &amp; Store Segmentation'!AK108</f>
        <v>0.0130385932134977</v>
      </c>
      <c r="G178" s="40" t="n">
        <f aca="false">'Diagnosis &amp; Store Segmentation'!AM108</f>
        <v>1.58967086372827</v>
      </c>
      <c r="H178" s="40" t="n">
        <f aca="false">'Diagnosis &amp; Store Segmentation'!AO108</f>
        <v>0</v>
      </c>
      <c r="I178" s="40" t="n">
        <f aca="false">'Diagnosis &amp; Store Segmentation'!AV108</f>
        <v>0.77</v>
      </c>
      <c r="J178" s="40" t="n">
        <f aca="false">'Diagnosis &amp; Store Segmentation'!AL108</f>
        <v>7.50163212556399</v>
      </c>
      <c r="K178" s="39" t="n">
        <f aca="false">'Diagnosis &amp; Store Segmentation'!AR108*'Diagnosis &amp; Store Segmentation'!AU108</f>
        <v>0</v>
      </c>
      <c r="L178" s="39" t="n">
        <f aca="false">'Diagnosis &amp; Store Segmentation'!E108</f>
        <v>1240.45652173913</v>
      </c>
      <c r="M178" s="40" t="n">
        <f aca="false">'Diagnosis &amp; Store Segmentation'!F108</f>
        <v>235.3116969431</v>
      </c>
      <c r="N178" s="40" t="n">
        <f aca="false">'Diagnosis &amp; Store Segmentation'!AG108*100*'Diagnosis &amp; Store Segmentation'!F108</f>
        <v>0</v>
      </c>
      <c r="O178" s="39" t="n">
        <f aca="false">'Diagnosis &amp; Store Segmentation'!BE108</f>
        <v>393.402173913044</v>
      </c>
      <c r="P178" s="40" t="n">
        <f aca="false">'Diagnosis &amp; Store Segmentation'!T108</f>
        <v>1.1</v>
      </c>
      <c r="Q178" s="40" t="n">
        <f aca="false">'Diagnosis &amp; Store Segmentation'!BH108</f>
        <v>21.226545</v>
      </c>
      <c r="R178" s="40" t="n">
        <f aca="false">'Diagnosis &amp; Store Segmentation'!BI108</f>
        <v>86.4166666666667</v>
      </c>
      <c r="S178" s="48" t="str">
        <f aca="false">'Diagnosis &amp; Store Segmentation'!BL108</f>
        <v>Optimise</v>
      </c>
      <c r="T178" s="40" t="n">
        <f aca="false">INDEX('Diagnosis &amp; Store Segmentation'!$O$106:$O$165,MATCH('Diagnosis &amp; Store Segmentation'!BC108,'Diagnosis &amp; Store Segmentation'!$A$106:$A$165,0))</f>
        <v>2.42106159931451</v>
      </c>
      <c r="U178" s="40" t="n">
        <f aca="false">IF(P178&lt;='Assumptions &amp; Data'!$C$74,MIN($C$13*L178,O178),0)</f>
        <v>393.402173913044</v>
      </c>
      <c r="V178" s="40" t="n">
        <f aca="false">-C178+U178*'Assumptions &amp; Data'!$C$63/'Assumptions &amp; Data'!$C$85*('Diagnosis &amp; Store Segmentation'!$B$12-'Assumptions &amp; Data'!$C$71)/100000</f>
        <v>-1.08391934036985</v>
      </c>
      <c r="W178" s="40" t="n">
        <f aca="false">IF(V178&gt;0,Q178/V178,99)</f>
        <v>99</v>
      </c>
      <c r="X178" s="40" t="n">
        <f aca="false">IF(AND(B178="Close",U178&gt;0,W178&lt;=$C$12,OR(S178&lt;&gt;"Close",C178&lt;T178)),1,0)</f>
        <v>0</v>
      </c>
      <c r="Y178" s="40" t="n">
        <f aca="false">(1-X178)*($C$6*(D178-$C$7*E178)+$C$8*F178+$C$9*G178+$C$10*H178+$C$11*I178)</f>
        <v>0.872083782776705</v>
      </c>
      <c r="Z178" s="40" t="n">
        <f aca="false">IF(X178=1,"closed",C178+Y178*(1-$C$14))</f>
        <v>8.45501120014826</v>
      </c>
      <c r="AA178" s="40" t="n">
        <f aca="false">IF(P178&lt;='Assumptions &amp; Data'!$C$74,MIN($D$13*L178,O178),0)</f>
        <v>393.402173913044</v>
      </c>
      <c r="AB178" s="40" t="n">
        <f aca="false">-C178+AA178*'Assumptions &amp; Data'!$C$63/'Assumptions &amp; Data'!$C$85*('Diagnosis &amp; Store Segmentation'!$B$12-'Assumptions &amp; Data'!$C$71)/100000</f>
        <v>-1.08391934036985</v>
      </c>
      <c r="AC178" s="40" t="n">
        <f aca="false">IF(AB178&gt;0,Q178/AB178,99)</f>
        <v>99</v>
      </c>
      <c r="AD178" s="40" t="n">
        <f aca="false">IF(AND(B178="Close",AA178&gt;0,AC178&lt;=$D$12,OR(S178&lt;&gt;"Close",C178&lt;T178)),1,0)</f>
        <v>0</v>
      </c>
      <c r="AE178" s="40" t="n">
        <f aca="false">(1-AD178)*($D$6*(D178-$D$7*E178)+$D$8*F178+$D$9*G178+$D$10*H178+$D$11*I178)</f>
        <v>1.34662567416506</v>
      </c>
      <c r="AF178" s="40" t="n">
        <f aca="false">IF(AD178=1,"closed",C178+AE178*(1-$D$14))</f>
        <v>8.92647309153661</v>
      </c>
      <c r="AG178" s="40" t="n">
        <f aca="false">IF(P178&lt;='Assumptions &amp; Data'!$C$74,MIN($E$13*L178,O178),0)</f>
        <v>393.402173913044</v>
      </c>
      <c r="AH178" s="40" t="n">
        <f aca="false">-C178+AG178*'Assumptions &amp; Data'!$C$63/'Assumptions &amp; Data'!$C$85*('Diagnosis &amp; Store Segmentation'!$B$12-'Assumptions &amp; Data'!$C$71)/100000</f>
        <v>-1.08391934036985</v>
      </c>
      <c r="AI178" s="40" t="n">
        <f aca="false">IF(AH178&gt;0,Q178/AH178,99)</f>
        <v>99</v>
      </c>
      <c r="AJ178" s="40" t="n">
        <f aca="false">IF(AND(B178="Close",AG178&gt;0,AI178&lt;=$E$12,OR(S178&lt;&gt;"Close",C178&lt;T178)),1,0)</f>
        <v>0</v>
      </c>
      <c r="AK178" s="40" t="n">
        <f aca="false">(1-AJ178)*($E$6*(D178-$E$7*E178)+$E$8*F178+$E$9*G178+$E$10*H178+$E$11*I178)</f>
        <v>1.74103209270632</v>
      </c>
      <c r="AL178" s="40" t="n">
        <f aca="false">IF(AJ178=1,"closed",C178+AK178*(1-$E$14))</f>
        <v>9.34155795937576</v>
      </c>
    </row>
    <row r="179" customFormat="false" ht="15" hidden="false" customHeight="false" outlineLevel="0" collapsed="false">
      <c r="A179" s="48" t="str">
        <f aca="false">'Diagnosis &amp; Store Segmentation'!A109</f>
        <v>DS004</v>
      </c>
      <c r="B179" s="48" t="str">
        <f aca="false">'Diagnosis &amp; Store Segmentation'!BK109</f>
        <v>Scale</v>
      </c>
      <c r="C179" s="40" t="n">
        <f aca="false">'Diagnosis &amp; Store Segmentation'!O109</f>
        <v>10.1868583742564</v>
      </c>
      <c r="D179" s="40" t="n">
        <f aca="false">'Diagnosis &amp; Store Segmentation'!AH109</f>
        <v>0.213561946008057</v>
      </c>
      <c r="E179" s="40" t="n">
        <f aca="false">'Diagnosis &amp; Store Segmentation'!AI109</f>
        <v>2.3133011250305</v>
      </c>
      <c r="F179" s="40" t="n">
        <f aca="false">'Diagnosis &amp; Store Segmentation'!AK109</f>
        <v>0</v>
      </c>
      <c r="G179" s="40" t="n">
        <f aca="false">'Diagnosis &amp; Store Segmentation'!AM109</f>
        <v>0</v>
      </c>
      <c r="H179" s="40" t="n">
        <f aca="false">'Diagnosis &amp; Store Segmentation'!AO109</f>
        <v>0</v>
      </c>
      <c r="I179" s="40" t="n">
        <f aca="false">'Diagnosis &amp; Store Segmentation'!AV109</f>
        <v>0</v>
      </c>
      <c r="J179" s="40" t="n">
        <f aca="false">'Diagnosis &amp; Store Segmentation'!AL109</f>
        <v>0</v>
      </c>
      <c r="K179" s="39" t="n">
        <f aca="false">'Diagnosis &amp; Store Segmentation'!AR109*'Diagnosis &amp; Store Segmentation'!AU109</f>
        <v>0</v>
      </c>
      <c r="L179" s="39" t="n">
        <f aca="false">'Diagnosis &amp; Store Segmentation'!E109</f>
        <v>1047.0652173913</v>
      </c>
      <c r="M179" s="40" t="n">
        <f aca="false">'Diagnosis &amp; Store Segmentation'!F109</f>
        <v>189.304873837533</v>
      </c>
      <c r="N179" s="40" t="n">
        <f aca="false">'Diagnosis &amp; Store Segmentation'!AG109*100*'Diagnosis &amp; Store Segmentation'!F109</f>
        <v>20.1630195595282</v>
      </c>
      <c r="O179" s="39" t="n">
        <f aca="false">'Diagnosis &amp; Store Segmentation'!BE109</f>
        <v>0</v>
      </c>
      <c r="P179" s="40" t="n">
        <f aca="false">'Diagnosis &amp; Store Segmentation'!T109</f>
        <v>1.2</v>
      </c>
      <c r="Q179" s="40" t="n">
        <f aca="false">'Diagnosis &amp; Store Segmentation'!BH109</f>
        <v>38.636046</v>
      </c>
      <c r="R179" s="40" t="n">
        <f aca="false">'Diagnosis &amp; Store Segmentation'!BI109</f>
        <v>94.9166666666667</v>
      </c>
      <c r="S179" s="48" t="str">
        <f aca="false">'Diagnosis &amp; Store Segmentation'!BL109</f>
        <v>Scale</v>
      </c>
      <c r="T179" s="40" t="n">
        <f aca="false">INDEX('Diagnosis &amp; Store Segmentation'!$O$106:$O$165,MATCH('Diagnosis &amp; Store Segmentation'!BC109,'Diagnosis &amp; Store Segmentation'!$A$106:$A$165,0))</f>
        <v>14.9286191806805</v>
      </c>
      <c r="U179" s="40" t="n">
        <f aca="false">IF(P179&lt;='Assumptions &amp; Data'!$C$74,MIN($C$13*L179,O179),0)</f>
        <v>0</v>
      </c>
      <c r="V179" s="40" t="n">
        <f aca="false">-C179+U179*'Assumptions &amp; Data'!$C$63/'Assumptions &amp; Data'!$C$85*('Diagnosis &amp; Store Segmentation'!$B$12-'Assumptions &amp; Data'!$C$71)/100000</f>
        <v>-10.1868583742564</v>
      </c>
      <c r="W179" s="40" t="n">
        <f aca="false">IF(V179&gt;0,Q179/V179,99)</f>
        <v>99</v>
      </c>
      <c r="X179" s="40" t="n">
        <f aca="false">IF(AND(B179="Close",U179&gt;0,W179&lt;=$C$12,OR(S179&lt;&gt;"Close",C179&lt;T179)),1,0)</f>
        <v>0</v>
      </c>
      <c r="Y179" s="40" t="n">
        <f aca="false">(1-X179)*($C$6*(D179-$C$7*E179)+$C$8*F179+$C$9*G179+$C$10*H179+$C$11*I179)</f>
        <v>0.0894312145662995</v>
      </c>
      <c r="Z179" s="40" t="n">
        <f aca="false">IF(X179=1,"closed",C179+Y179*(1-$C$14))</f>
        <v>10.2655578430747</v>
      </c>
      <c r="AA179" s="40" t="n">
        <f aca="false">IF(P179&lt;='Assumptions &amp; Data'!$C$74,MIN($D$13*L179,O179),0)</f>
        <v>0</v>
      </c>
      <c r="AB179" s="40" t="n">
        <f aca="false">-C179+AA179*'Assumptions &amp; Data'!$C$63/'Assumptions &amp; Data'!$C$85*('Diagnosis &amp; Store Segmentation'!$B$12-'Assumptions &amp; Data'!$C$71)/100000</f>
        <v>-10.1868583742564</v>
      </c>
      <c r="AC179" s="40" t="n">
        <f aca="false">IF(AB179&gt;0,Q179/AB179,99)</f>
        <v>99</v>
      </c>
      <c r="AD179" s="40" t="n">
        <f aca="false">IF(AND(B179="Close",AA179&gt;0,AC179&lt;=$D$12,OR(S179&lt;&gt;"Close",C179&lt;T179)),1,0)</f>
        <v>0</v>
      </c>
      <c r="AE179" s="40" t="n">
        <f aca="false">(1-AD179)*($D$6*(D179-$D$7*E179)+$D$8*F179+$D$9*G179+$D$10*H179+$D$11*I179)</f>
        <v>0.133300254330426</v>
      </c>
      <c r="AF179" s="40" t="n">
        <f aca="false">IF(AD179=1,"closed",C179+AE179*(1-$D$14))</f>
        <v>10.3094946082404</v>
      </c>
      <c r="AG179" s="40" t="n">
        <f aca="false">IF(P179&lt;='Assumptions &amp; Data'!$C$74,MIN($E$13*L179,O179),0)</f>
        <v>0</v>
      </c>
      <c r="AH179" s="40" t="n">
        <f aca="false">-C179+AG179*'Assumptions &amp; Data'!$C$63/'Assumptions &amp; Data'!$C$85*('Diagnosis &amp; Store Segmentation'!$B$12-'Assumptions &amp; Data'!$C$71)/100000</f>
        <v>-10.1868583742564</v>
      </c>
      <c r="AI179" s="40" t="n">
        <f aca="false">IF(AH179&gt;0,Q179/AH179,99)</f>
        <v>99</v>
      </c>
      <c r="AJ179" s="40" t="n">
        <f aca="false">IF(AND(B179="Close",AG179&gt;0,AI179&lt;=$E$12,OR(S179&lt;&gt;"Close",C179&lt;T179)),1,0)</f>
        <v>0</v>
      </c>
      <c r="AK179" s="40" t="n">
        <f aca="false">(1-AJ179)*($E$6*(D179-$E$7*E179)+$E$8*F179+$E$9*G179+$E$10*H179+$E$11*I179)</f>
        <v>0.167763512412917</v>
      </c>
      <c r="AL179" s="40" t="n">
        <f aca="false">IF(AJ179=1,"closed",C179+AK179*(1-$E$14))</f>
        <v>10.3462337110487</v>
      </c>
    </row>
    <row r="180" customFormat="false" ht="15" hidden="false" customHeight="false" outlineLevel="0" collapsed="false">
      <c r="A180" s="48" t="str">
        <f aca="false">'Diagnosis &amp; Store Segmentation'!A110</f>
        <v>DS005</v>
      </c>
      <c r="B180" s="48" t="str">
        <f aca="false">'Diagnosis &amp; Store Segmentation'!BK110</f>
        <v>Optimise</v>
      </c>
      <c r="C180" s="40" t="n">
        <f aca="false">'Diagnosis &amp; Store Segmentation'!O110</f>
        <v>5.64056874673979</v>
      </c>
      <c r="D180" s="40" t="n">
        <f aca="false">'Diagnosis &amp; Store Segmentation'!AH110</f>
        <v>3.32605857705339</v>
      </c>
      <c r="E180" s="40" t="n">
        <f aca="false">'Diagnosis &amp; Store Segmentation'!AI110</f>
        <v>34.3930651824856</v>
      </c>
      <c r="F180" s="40" t="n">
        <f aca="false">'Diagnosis &amp; Store Segmentation'!AK110</f>
        <v>0</v>
      </c>
      <c r="G180" s="40" t="n">
        <f aca="false">'Diagnosis &amp; Store Segmentation'!AM110</f>
        <v>0</v>
      </c>
      <c r="H180" s="40" t="n">
        <f aca="false">'Diagnosis &amp; Store Segmentation'!AO110</f>
        <v>0.0515614599254457</v>
      </c>
      <c r="I180" s="40" t="n">
        <f aca="false">'Diagnosis &amp; Store Segmentation'!AV110</f>
        <v>1.925</v>
      </c>
      <c r="J180" s="40" t="n">
        <f aca="false">'Diagnosis &amp; Store Segmentation'!AL110</f>
        <v>0</v>
      </c>
      <c r="K180" s="39" t="n">
        <f aca="false">'Diagnosis &amp; Store Segmentation'!AR110*'Diagnosis &amp; Store Segmentation'!AU110</f>
        <v>0</v>
      </c>
      <c r="L180" s="39" t="n">
        <f aca="false">'Diagnosis &amp; Store Segmentation'!E110</f>
        <v>1321.3152173913</v>
      </c>
      <c r="M180" s="40" t="n">
        <f aca="false">'Diagnosis &amp; Store Segmentation'!F110</f>
        <v>241.1319602605</v>
      </c>
      <c r="N180" s="40" t="n">
        <f aca="false">'Diagnosis &amp; Store Segmentation'!AG110*100*'Diagnosis &amp; Store Segmentation'!F110</f>
        <v>310.099989921267</v>
      </c>
      <c r="O180" s="39" t="n">
        <f aca="false">'Diagnosis &amp; Store Segmentation'!BE110</f>
        <v>0</v>
      </c>
      <c r="P180" s="40" t="n">
        <f aca="false">'Diagnosis &amp; Store Segmentation'!T110</f>
        <v>2.1</v>
      </c>
      <c r="Q180" s="40" t="n">
        <f aca="false">'Diagnosis &amp; Store Segmentation'!BH110</f>
        <v>12.766695</v>
      </c>
      <c r="R180" s="40" t="n">
        <f aca="false">'Diagnosis &amp; Store Segmentation'!BI110</f>
        <v>113.535714285714</v>
      </c>
      <c r="S180" s="48" t="str">
        <f aca="false">'Diagnosis &amp; Store Segmentation'!BL110</f>
        <v>Scale</v>
      </c>
      <c r="T180" s="40" t="n">
        <f aca="false">INDEX('Diagnosis &amp; Store Segmentation'!$O$106:$O$165,MATCH('Diagnosis &amp; Store Segmentation'!BC110,'Diagnosis &amp; Store Segmentation'!$A$106:$A$165,0))</f>
        <v>11.005899880632</v>
      </c>
      <c r="U180" s="40" t="n">
        <f aca="false">IF(P180&lt;='Assumptions &amp; Data'!$C$74,MIN($C$13*L180,O180),0)</f>
        <v>0</v>
      </c>
      <c r="V180" s="40" t="n">
        <f aca="false">-C180+U180*'Assumptions &amp; Data'!$C$63/'Assumptions &amp; Data'!$C$85*('Diagnosis &amp; Store Segmentation'!$B$12-'Assumptions &amp; Data'!$C$71)/100000</f>
        <v>-5.64056874673979</v>
      </c>
      <c r="W180" s="40" t="n">
        <f aca="false">IF(V180&gt;0,Q180/V180,99)</f>
        <v>99</v>
      </c>
      <c r="X180" s="40" t="n">
        <f aca="false">IF(AND(B180="Close",U180&gt;0,W180&lt;=$C$12,OR(S180&lt;&gt;"Close",C180&lt;T180)),1,0)</f>
        <v>0</v>
      </c>
      <c r="Y180" s="40" t="n">
        <f aca="false">(1-X180)*($C$6*(D180-$C$7*E180)+$C$8*F180+$C$9*G180+$C$10*H180+$C$11*I180)</f>
        <v>1.99804973763569</v>
      </c>
      <c r="Z180" s="40" t="n">
        <f aca="false">IF(X180=1,"closed",C180+Y180*(1-$C$14))</f>
        <v>7.39885251585919</v>
      </c>
      <c r="AA180" s="40" t="n">
        <f aca="false">IF(P180&lt;='Assumptions &amp; Data'!$C$74,MIN($D$13*L180,O180),0)</f>
        <v>0</v>
      </c>
      <c r="AB180" s="40" t="n">
        <f aca="false">-C180+AA180*'Assumptions &amp; Data'!$C$63/'Assumptions &amp; Data'!$C$85*('Diagnosis &amp; Store Segmentation'!$B$12-'Assumptions &amp; Data'!$C$71)/100000</f>
        <v>-5.64056874673979</v>
      </c>
      <c r="AC180" s="40" t="n">
        <f aca="false">IF(AB180&gt;0,Q180/AB180,99)</f>
        <v>99</v>
      </c>
      <c r="AD180" s="40" t="n">
        <f aca="false">IF(AND(B180="Close",AA180&gt;0,AC180&lt;=$D$12,OR(S180&lt;&gt;"Close",C180&lt;T180)),1,0)</f>
        <v>0</v>
      </c>
      <c r="AE180" s="40" t="n">
        <f aca="false">(1-AD180)*($D$6*(D180-$D$7*E180)+$D$8*F180+$D$9*G180+$D$10*H180+$D$11*I180)</f>
        <v>3.07577027762269</v>
      </c>
      <c r="AF180" s="40" t="n">
        <f aca="false">IF(AD180=1,"closed",C180+AE180*(1-$D$14))</f>
        <v>8.47027740215266</v>
      </c>
      <c r="AG180" s="40" t="n">
        <f aca="false">IF(P180&lt;='Assumptions &amp; Data'!$C$74,MIN($E$13*L180,O180),0)</f>
        <v>0</v>
      </c>
      <c r="AH180" s="40" t="n">
        <f aca="false">-C180+AG180*'Assumptions &amp; Data'!$C$63/'Assumptions &amp; Data'!$C$85*('Diagnosis &amp; Store Segmentation'!$B$12-'Assumptions &amp; Data'!$C$71)/100000</f>
        <v>-5.64056874673979</v>
      </c>
      <c r="AI180" s="40" t="n">
        <f aca="false">IF(AH180&gt;0,Q180/AH180,99)</f>
        <v>99</v>
      </c>
      <c r="AJ180" s="40" t="n">
        <f aca="false">IF(AND(B180="Close",AG180&gt;0,AI180&lt;=$E$12,OR(S180&lt;&gt;"Close",C180&lt;T180)),1,0)</f>
        <v>0</v>
      </c>
      <c r="AK180" s="40" t="n">
        <f aca="false">(1-AJ180)*($E$6*(D180-$E$7*E180)+$E$8*F180+$E$9*G180+$E$10*H180+$E$11*I180)</f>
        <v>4.00352600161113</v>
      </c>
      <c r="AL180" s="40" t="n">
        <f aca="false">IF(AJ180=1,"closed",C180+AK180*(1-$E$14))</f>
        <v>9.44391844827036</v>
      </c>
    </row>
    <row r="181" customFormat="false" ht="15" hidden="false" customHeight="false" outlineLevel="0" collapsed="false">
      <c r="A181" s="48" t="str">
        <f aca="false">'Diagnosis &amp; Store Segmentation'!A111</f>
        <v>DS006</v>
      </c>
      <c r="B181" s="48" t="str">
        <f aca="false">'Diagnosis &amp; Store Segmentation'!BK111</f>
        <v>Scale</v>
      </c>
      <c r="C181" s="40" t="n">
        <f aca="false">'Diagnosis &amp; Store Segmentation'!O111</f>
        <v>11.005899880632</v>
      </c>
      <c r="D181" s="40" t="n">
        <f aca="false">'Diagnosis &amp; Store Segmentation'!AH111</f>
        <v>1.67512937525191</v>
      </c>
      <c r="E181" s="40" t="n">
        <f aca="false">'Diagnosis &amp; Store Segmentation'!AI111</f>
        <v>15.9491628920032</v>
      </c>
      <c r="F181" s="40" t="n">
        <f aca="false">'Diagnosis &amp; Store Segmentation'!AK111</f>
        <v>1.02680763850041</v>
      </c>
      <c r="G181" s="40" t="n">
        <f aca="false">'Diagnosis &amp; Store Segmentation'!AM111</f>
        <v>1.67817635519093</v>
      </c>
      <c r="H181" s="40" t="n">
        <f aca="false">'Diagnosis &amp; Store Segmentation'!AO111</f>
        <v>1.03246259119765</v>
      </c>
      <c r="I181" s="40" t="n">
        <f aca="false">'Diagnosis &amp; Store Segmentation'!AV111</f>
        <v>1.53</v>
      </c>
      <c r="J181" s="40" t="n">
        <f aca="false">'Diagnosis &amp; Store Segmentation'!AL111</f>
        <v>7.91928816568795</v>
      </c>
      <c r="K181" s="39" t="n">
        <f aca="false">'Diagnosis &amp; Store Segmentation'!AR111*'Diagnosis &amp; Store Segmentation'!AU111</f>
        <v>0</v>
      </c>
      <c r="L181" s="39" t="n">
        <f aca="false">'Diagnosis &amp; Store Segmentation'!E111</f>
        <v>2026.02173913043</v>
      </c>
      <c r="M181" s="40" t="n">
        <f aca="false">'Diagnosis &amp; Store Segmentation'!F111</f>
        <v>367.264058090733</v>
      </c>
      <c r="N181" s="40" t="n">
        <f aca="false">'Diagnosis &amp; Store Segmentation'!AG111*100*'Diagnosis &amp; Store Segmentation'!F111</f>
        <v>157.613482826489</v>
      </c>
      <c r="O181" s="39" t="n">
        <f aca="false">'Diagnosis &amp; Store Segmentation'!BE111</f>
        <v>460.684782608696</v>
      </c>
      <c r="P181" s="40" t="n">
        <f aca="false">'Diagnosis &amp; Store Segmentation'!T111</f>
        <v>2.1</v>
      </c>
      <c r="Q181" s="40" t="n">
        <f aca="false">'Diagnosis &amp; Store Segmentation'!BH111</f>
        <v>55.71153</v>
      </c>
      <c r="R181" s="40" t="n">
        <f aca="false">'Diagnosis &amp; Store Segmentation'!BI111</f>
        <v>96.5357142857143</v>
      </c>
      <c r="S181" s="48" t="str">
        <f aca="false">'Diagnosis &amp; Store Segmentation'!BL111</f>
        <v>Optimise</v>
      </c>
      <c r="T181" s="40" t="n">
        <f aca="false">INDEX('Diagnosis &amp; Store Segmentation'!$O$106:$O$165,MATCH('Diagnosis &amp; Store Segmentation'!BC111,'Diagnosis &amp; Store Segmentation'!$A$106:$A$165,0))</f>
        <v>5.64056874673979</v>
      </c>
      <c r="U181" s="40" t="n">
        <f aca="false">IF(P181&lt;='Assumptions &amp; Data'!$C$74,MIN($C$13*L181,O181),0)</f>
        <v>0</v>
      </c>
      <c r="V181" s="40" t="n">
        <f aca="false">-C181+U181*'Assumptions &amp; Data'!$C$63/'Assumptions &amp; Data'!$C$85*('Diagnosis &amp; Store Segmentation'!$B$12-'Assumptions &amp; Data'!$C$71)/100000</f>
        <v>-11.005899880632</v>
      </c>
      <c r="W181" s="40" t="n">
        <f aca="false">IF(V181&gt;0,Q181/V181,99)</f>
        <v>99</v>
      </c>
      <c r="X181" s="40" t="n">
        <f aca="false">IF(AND(B181="Close",U181&gt;0,W181&lt;=$C$12,OR(S181&lt;&gt;"Close",C181&lt;T181)),1,0)</f>
        <v>0</v>
      </c>
      <c r="Y181" s="40" t="n">
        <f aca="false">(1-X181)*($C$6*(D181-$C$7*E181)+$C$8*F181+$C$9*G181+$C$10*H181+$C$11*I181)</f>
        <v>2.56867834077176</v>
      </c>
      <c r="Z181" s="40" t="n">
        <f aca="false">IF(X181=1,"closed",C181+Y181*(1-$C$14))</f>
        <v>13.2663368205112</v>
      </c>
      <c r="AA181" s="40" t="n">
        <f aca="false">IF(P181&lt;='Assumptions &amp; Data'!$C$74,MIN($D$13*L181,O181),0)</f>
        <v>0</v>
      </c>
      <c r="AB181" s="40" t="n">
        <f aca="false">-C181+AA181*'Assumptions &amp; Data'!$C$63/'Assumptions &amp; Data'!$C$85*('Diagnosis &amp; Store Segmentation'!$B$12-'Assumptions &amp; Data'!$C$71)/100000</f>
        <v>-11.005899880632</v>
      </c>
      <c r="AC181" s="40" t="n">
        <f aca="false">IF(AB181&gt;0,Q181/AB181,99)</f>
        <v>99</v>
      </c>
      <c r="AD181" s="40" t="n">
        <f aca="false">IF(AND(B181="Close",AA181&gt;0,AC181&lt;=$D$12,OR(S181&lt;&gt;"Close",C181&lt;T181)),1,0)</f>
        <v>0</v>
      </c>
      <c r="AE181" s="40" t="n">
        <f aca="false">(1-AD181)*($D$6*(D181-$D$7*E181)+$D$8*F181+$D$9*G181+$D$10*H181+$D$11*I181)</f>
        <v>3.96516811424594</v>
      </c>
      <c r="AF181" s="40" t="n">
        <f aca="false">IF(AD181=1,"closed",C181+AE181*(1-$D$14))</f>
        <v>14.6538545457383</v>
      </c>
      <c r="AG181" s="40" t="n">
        <f aca="false">IF(P181&lt;='Assumptions &amp; Data'!$C$74,MIN($E$13*L181,O181),0)</f>
        <v>0</v>
      </c>
      <c r="AH181" s="40" t="n">
        <f aca="false">-C181+AG181*'Assumptions &amp; Data'!$C$63/'Assumptions &amp; Data'!$C$85*('Diagnosis &amp; Store Segmentation'!$B$12-'Assumptions &amp; Data'!$C$71)/100000</f>
        <v>-11.005899880632</v>
      </c>
      <c r="AI181" s="40" t="n">
        <f aca="false">IF(AH181&gt;0,Q181/AH181,99)</f>
        <v>99</v>
      </c>
      <c r="AJ181" s="40" t="n">
        <f aca="false">IF(AND(B181="Close",AG181&gt;0,AI181&lt;=$E$12,OR(S181&lt;&gt;"Close",C181&lt;T181)),1,0)</f>
        <v>0</v>
      </c>
      <c r="AK181" s="40" t="n">
        <f aca="false">(1-AJ181)*($E$6*(D181-$E$7*E181)+$E$8*F181+$E$9*G181+$E$10*H181+$E$11*I181)</f>
        <v>5.09980112930368</v>
      </c>
      <c r="AL181" s="40" t="n">
        <f aca="false">IF(AJ181=1,"closed",C181+AK181*(1-$E$14))</f>
        <v>15.8507109534705</v>
      </c>
    </row>
    <row r="182" customFormat="false" ht="15" hidden="false" customHeight="false" outlineLevel="0" collapsed="false">
      <c r="A182" s="48" t="str">
        <f aca="false">'Diagnosis &amp; Store Segmentation'!A112</f>
        <v>DS007</v>
      </c>
      <c r="B182" s="48" t="str">
        <f aca="false">'Diagnosis &amp; Store Segmentation'!BK112</f>
        <v>Relocate or resize</v>
      </c>
      <c r="C182" s="40" t="n">
        <f aca="false">'Diagnosis &amp; Store Segmentation'!O112</f>
        <v>-11.0775283444284</v>
      </c>
      <c r="D182" s="40" t="n">
        <f aca="false">'Diagnosis &amp; Store Segmentation'!AH112</f>
        <v>0.752420427833709</v>
      </c>
      <c r="E182" s="40" t="n">
        <f aca="false">'Diagnosis &amp; Store Segmentation'!AI112</f>
        <v>4.89534963776123</v>
      </c>
      <c r="F182" s="40" t="n">
        <f aca="false">'Diagnosis &amp; Store Segmentation'!AK112</f>
        <v>0.584629940614093</v>
      </c>
      <c r="G182" s="40" t="n">
        <f aca="false">'Diagnosis &amp; Store Segmentation'!AM112</f>
        <v>1.9945274159288</v>
      </c>
      <c r="H182" s="40" t="n">
        <f aca="false">'Diagnosis &amp; Store Segmentation'!AO112</f>
        <v>0.443802098180244</v>
      </c>
      <c r="I182" s="40" t="n">
        <f aca="false">'Diagnosis &amp; Store Segmentation'!AV112</f>
        <v>0</v>
      </c>
      <c r="J182" s="40" t="n">
        <f aca="false">'Diagnosis &amp; Store Segmentation'!AL112</f>
        <v>9.41214390981452</v>
      </c>
      <c r="K182" s="39" t="n">
        <f aca="false">'Diagnosis &amp; Store Segmentation'!AR112*'Diagnosis &amp; Store Segmentation'!AU112</f>
        <v>0</v>
      </c>
      <c r="L182" s="39" t="n">
        <f aca="false">'Diagnosis &amp; Store Segmentation'!E112</f>
        <v>251.445652173913</v>
      </c>
      <c r="M182" s="40" t="n">
        <f aca="false">'Diagnosis &amp; Store Segmentation'!F112</f>
        <v>45.1776530576</v>
      </c>
      <c r="N182" s="40" t="n">
        <f aca="false">'Diagnosis &amp; Store Segmentation'!AG112*100*'Diagnosis &amp; Store Segmentation'!F112</f>
        <v>69.9533429017673</v>
      </c>
      <c r="O182" s="39" t="n">
        <f aca="false">'Diagnosis &amp; Store Segmentation'!BE112</f>
        <v>0</v>
      </c>
      <c r="P182" s="40" t="n">
        <f aca="false">'Diagnosis &amp; Store Segmentation'!T112</f>
        <v>3.4</v>
      </c>
      <c r="Q182" s="40" t="n">
        <f aca="false">'Diagnosis &amp; Store Segmentation'!BH112</f>
        <v>80.946504</v>
      </c>
      <c r="R182" s="40" t="n">
        <f aca="false">'Diagnosis &amp; Store Segmentation'!BI112</f>
        <v>143.892857142857</v>
      </c>
      <c r="S182" s="48" t="str">
        <f aca="false">'Diagnosis &amp; Store Segmentation'!BL112</f>
        <v>Optimise</v>
      </c>
      <c r="T182" s="40" t="n">
        <f aca="false">INDEX('Diagnosis &amp; Store Segmentation'!$O$106:$O$165,MATCH('Diagnosis &amp; Store Segmentation'!BC112,'Diagnosis &amp; Store Segmentation'!$A$106:$A$165,0))</f>
        <v>14.9782902208341</v>
      </c>
      <c r="U182" s="40" t="n">
        <f aca="false">IF(P182&lt;='Assumptions &amp; Data'!$C$74,MIN($C$13*L182,O182),0)</f>
        <v>0</v>
      </c>
      <c r="V182" s="40" t="n">
        <f aca="false">-C182+U182*'Assumptions &amp; Data'!$C$63/'Assumptions &amp; Data'!$C$85*('Diagnosis &amp; Store Segmentation'!$B$12-'Assumptions &amp; Data'!$C$71)/100000</f>
        <v>11.0775283444284</v>
      </c>
      <c r="W182" s="40" t="n">
        <f aca="false">IF(V182&gt;0,Q182/V182,99)</f>
        <v>7.30727121458584</v>
      </c>
      <c r="X182" s="40" t="n">
        <f aca="false">IF(AND(B182="Close",U182&gt;0,W182&lt;=$C$12,OR(S182&lt;&gt;"Close",C182&lt;T182)),1,0)</f>
        <v>0</v>
      </c>
      <c r="Y182" s="40" t="n">
        <f aca="false">(1-X182)*($C$6*(D182-$C$7*E182)+$C$8*F182+$C$9*G182+$C$10*H182+$C$11*I182)</f>
        <v>1.50429866370487</v>
      </c>
      <c r="Z182" s="40" t="n">
        <f aca="false">IF(X182=1,"closed",C182+Y182*(1-$C$14))</f>
        <v>-9.75374552036806</v>
      </c>
      <c r="AA182" s="40" t="n">
        <f aca="false">IF(P182&lt;='Assumptions &amp; Data'!$C$74,MIN($D$13*L182,O182),0)</f>
        <v>0</v>
      </c>
      <c r="AB182" s="40" t="n">
        <f aca="false">-C182+AA182*'Assumptions &amp; Data'!$C$63/'Assumptions &amp; Data'!$C$85*('Diagnosis &amp; Store Segmentation'!$B$12-'Assumptions &amp; Data'!$C$71)/100000</f>
        <v>11.0775283444284</v>
      </c>
      <c r="AC182" s="40" t="n">
        <f aca="false">IF(AB182&gt;0,Q182/AB182,99)</f>
        <v>7.30727121458584</v>
      </c>
      <c r="AD182" s="40" t="n">
        <f aca="false">IF(AND(B182="Close",AA182&gt;0,AC182&lt;=$D$12,OR(S182&lt;&gt;"Close",C182&lt;T182)),1,0)</f>
        <v>0</v>
      </c>
      <c r="AE182" s="40" t="n">
        <f aca="false">(1-AD182)*($D$6*(D182-$D$7*E182)+$D$8*F182+$D$9*G182+$D$10*H182+$D$11*I182)</f>
        <v>2.26182231503512</v>
      </c>
      <c r="AF182" s="40" t="n">
        <f aca="false">IF(AD182=1,"closed",C182+AE182*(1-$D$14))</f>
        <v>-8.99665181459604</v>
      </c>
      <c r="AG182" s="40" t="n">
        <f aca="false">IF(P182&lt;='Assumptions &amp; Data'!$C$74,MIN($E$13*L182,O182),0)</f>
        <v>0</v>
      </c>
      <c r="AH182" s="40" t="n">
        <f aca="false">-C182+AG182*'Assumptions &amp; Data'!$C$63/'Assumptions &amp; Data'!$C$85*('Diagnosis &amp; Store Segmentation'!$B$12-'Assumptions &amp; Data'!$C$71)/100000</f>
        <v>11.0775283444284</v>
      </c>
      <c r="AI182" s="40" t="n">
        <f aca="false">IF(AH182&gt;0,Q182/AH182,99)</f>
        <v>7.30727121458584</v>
      </c>
      <c r="AJ182" s="40" t="n">
        <f aca="false">IF(AND(B182="Close",AG182&gt;0,AI182&lt;=$E$12,OR(S182&lt;&gt;"Close",C182&lt;T182)),1,0)</f>
        <v>0</v>
      </c>
      <c r="AK182" s="40" t="n">
        <f aca="false">(1-AJ182)*($E$6*(D182-$E$7*E182)+$E$8*F182+$E$9*G182+$E$10*H182+$E$11*I182)</f>
        <v>2.8332694145383</v>
      </c>
      <c r="AL182" s="40" t="n">
        <f aca="false">IF(AJ182=1,"closed",C182+AK182*(1-$E$14))</f>
        <v>-8.38592240061697</v>
      </c>
    </row>
    <row r="183" customFormat="false" ht="15" hidden="false" customHeight="false" outlineLevel="0" collapsed="false">
      <c r="A183" s="48" t="str">
        <f aca="false">'Diagnosis &amp; Store Segmentation'!A113</f>
        <v>DS008</v>
      </c>
      <c r="B183" s="48" t="str">
        <f aca="false">'Diagnosis &amp; Store Segmentation'!BK113</f>
        <v>Optimise</v>
      </c>
      <c r="C183" s="40" t="n">
        <f aca="false">'Diagnosis &amp; Store Segmentation'!O113</f>
        <v>5.79883018179855</v>
      </c>
      <c r="D183" s="40" t="n">
        <f aca="false">'Diagnosis &amp; Store Segmentation'!AH113</f>
        <v>2.71924492907145</v>
      </c>
      <c r="E183" s="40" t="n">
        <f aca="false">'Diagnosis &amp; Store Segmentation'!AI113</f>
        <v>25.2042425726521</v>
      </c>
      <c r="F183" s="40" t="n">
        <f aca="false">'Diagnosis &amp; Store Segmentation'!AK113</f>
        <v>2.25311793849841</v>
      </c>
      <c r="G183" s="40" t="n">
        <f aca="false">'Diagnosis &amp; Store Segmentation'!AM113</f>
        <v>0</v>
      </c>
      <c r="H183" s="40" t="n">
        <f aca="false">'Diagnosis &amp; Store Segmentation'!AO113</f>
        <v>0</v>
      </c>
      <c r="I183" s="40" t="n">
        <f aca="false">'Diagnosis &amp; Store Segmentation'!AV113</f>
        <v>0</v>
      </c>
      <c r="J183" s="40" t="n">
        <f aca="false">'Diagnosis &amp; Store Segmentation'!AL113</f>
        <v>0</v>
      </c>
      <c r="K183" s="39" t="n">
        <f aca="false">'Diagnosis &amp; Store Segmentation'!AR113*'Diagnosis &amp; Store Segmentation'!AU113</f>
        <v>0</v>
      </c>
      <c r="L183" s="39" t="n">
        <f aca="false">'Diagnosis &amp; Store Segmentation'!E113</f>
        <v>1041.6847826087</v>
      </c>
      <c r="M183" s="40" t="n">
        <f aca="false">'Diagnosis &amp; Store Segmentation'!F113</f>
        <v>206.4880458082</v>
      </c>
      <c r="N183" s="40" t="n">
        <f aca="false">'Diagnosis &amp; Store Segmentation'!AG113*100*'Diagnosis &amp; Store Segmentation'!F113</f>
        <v>253.680915173499</v>
      </c>
      <c r="O183" s="39" t="n">
        <f aca="false">'Diagnosis &amp; Store Segmentation'!BE113</f>
        <v>236.652173913044</v>
      </c>
      <c r="P183" s="40" t="n">
        <f aca="false">'Diagnosis &amp; Store Segmentation'!T113</f>
        <v>1</v>
      </c>
      <c r="Q183" s="40" t="n">
        <f aca="false">'Diagnosis &amp; Store Segmentation'!BH113</f>
        <v>26.205726</v>
      </c>
      <c r="R183" s="40" t="n">
        <f aca="false">'Diagnosis &amp; Store Segmentation'!BI113</f>
        <v>102</v>
      </c>
      <c r="S183" s="48" t="str">
        <f aca="false">'Diagnosis &amp; Store Segmentation'!BL113</f>
        <v>Scale</v>
      </c>
      <c r="T183" s="40" t="n">
        <f aca="false">INDEX('Diagnosis &amp; Store Segmentation'!$O$106:$O$165,MATCH('Diagnosis &amp; Store Segmentation'!BC113,'Diagnosis &amp; Store Segmentation'!$A$106:$A$165,0))</f>
        <v>4.74604656692946</v>
      </c>
      <c r="U183" s="40" t="n">
        <f aca="false">IF(P183&lt;='Assumptions &amp; Data'!$C$74,MIN($C$13*L183,O183),0)</f>
        <v>236.652173913044</v>
      </c>
      <c r="V183" s="40" t="n">
        <f aca="false">-C183+U183*'Assumptions &amp; Data'!$C$63/'Assumptions &amp; Data'!$C$85*('Diagnosis &amp; Store Segmentation'!$B$12-'Assumptions &amp; Data'!$C$71)/100000</f>
        <v>-1.8263812323687</v>
      </c>
      <c r="W183" s="40" t="n">
        <f aca="false">IF(V183&gt;0,Q183/V183,99)</f>
        <v>99</v>
      </c>
      <c r="X183" s="40" t="n">
        <f aca="false">IF(AND(B183="Close",U183&gt;0,W183&lt;=$C$12,OR(S183&lt;&gt;"Close",C183&lt;T183)),1,0)</f>
        <v>0</v>
      </c>
      <c r="Y183" s="40" t="n">
        <f aca="false">(1-X183)*($C$6*(D183-$C$7*E183)+$C$8*F183+$C$9*G183+$C$10*H183+$C$11*I183)</f>
        <v>2.0718378206402</v>
      </c>
      <c r="Z183" s="40" t="n">
        <f aca="false">IF(X183=1,"closed",C183+Y183*(1-$C$14))</f>
        <v>7.62204746396192</v>
      </c>
      <c r="AA183" s="40" t="n">
        <f aca="false">IF(P183&lt;='Assumptions &amp; Data'!$C$74,MIN($D$13*L183,O183),0)</f>
        <v>236.652173913044</v>
      </c>
      <c r="AB183" s="40" t="n">
        <f aca="false">-C183+AA183*'Assumptions &amp; Data'!$C$63/'Assumptions &amp; Data'!$C$85*('Diagnosis &amp; Store Segmentation'!$B$12-'Assumptions &amp; Data'!$C$71)/100000</f>
        <v>-1.8263812323687</v>
      </c>
      <c r="AC183" s="40" t="n">
        <f aca="false">IF(AB183&gt;0,Q183/AB183,99)</f>
        <v>99</v>
      </c>
      <c r="AD183" s="40" t="n">
        <f aca="false">IF(AND(B183="Close",AA183&gt;0,AC183&lt;=$D$12,OR(S183&lt;&gt;"Close",C183&lt;T183)),1,0)</f>
        <v>0</v>
      </c>
      <c r="AE183" s="40" t="n">
        <f aca="false">(1-AD183)*($D$6*(D183-$D$7*E183)+$D$8*F183+$D$9*G183+$D$10*H183+$D$11*I183)</f>
        <v>3.07891251544049</v>
      </c>
      <c r="AF183" s="40" t="n">
        <f aca="false">IF(AD183=1,"closed",C183+AE183*(1-$D$14))</f>
        <v>8.63142969600381</v>
      </c>
      <c r="AG183" s="40" t="n">
        <f aca="false">IF(P183&lt;='Assumptions &amp; Data'!$C$74,MIN($E$13*L183,O183),0)</f>
        <v>236.652173913044</v>
      </c>
      <c r="AH183" s="40" t="n">
        <f aca="false">-C183+AG183*'Assumptions &amp; Data'!$C$63/'Assumptions &amp; Data'!$C$85*('Diagnosis &amp; Store Segmentation'!$B$12-'Assumptions &amp; Data'!$C$71)/100000</f>
        <v>-1.8263812323687</v>
      </c>
      <c r="AI183" s="40" t="n">
        <f aca="false">IF(AH183&gt;0,Q183/AH183,99)</f>
        <v>99</v>
      </c>
      <c r="AJ183" s="40" t="n">
        <f aca="false">IF(AND(B183="Close",AG183&gt;0,AI183&lt;=$E$12,OR(S183&lt;&gt;"Close",C183&lt;T183)),1,0)</f>
        <v>0</v>
      </c>
      <c r="AK183" s="40" t="n">
        <f aca="false">(1-AJ183)*($E$6*(D183-$E$7*E183)+$E$8*F183+$E$9*G183+$E$10*H183+$E$11*I183)</f>
        <v>3.85123140027726</v>
      </c>
      <c r="AL183" s="40" t="n">
        <f aca="false">IF(AJ183=1,"closed",C183+AK183*(1-$E$14))</f>
        <v>9.45750001206194</v>
      </c>
    </row>
    <row r="184" customFormat="false" ht="15" hidden="false" customHeight="false" outlineLevel="0" collapsed="false">
      <c r="A184" s="48" t="str">
        <f aca="false">'Diagnosis &amp; Store Segmentation'!A114</f>
        <v>DS009</v>
      </c>
      <c r="B184" s="48" t="str">
        <f aca="false">'Diagnosis &amp; Store Segmentation'!BK114</f>
        <v>Optimise</v>
      </c>
      <c r="C184" s="40" t="n">
        <f aca="false">'Diagnosis &amp; Store Segmentation'!O114</f>
        <v>15.5012129383363</v>
      </c>
      <c r="D184" s="40" t="n">
        <f aca="false">'Diagnosis &amp; Store Segmentation'!AH114</f>
        <v>0</v>
      </c>
      <c r="E184" s="40" t="n">
        <f aca="false">'Diagnosis &amp; Store Segmentation'!AI114</f>
        <v>0</v>
      </c>
      <c r="F184" s="40" t="n">
        <f aca="false">'Diagnosis &amp; Store Segmentation'!AK114</f>
        <v>0</v>
      </c>
      <c r="G184" s="40" t="n">
        <f aca="false">'Diagnosis &amp; Store Segmentation'!AM114</f>
        <v>1.21893569609974</v>
      </c>
      <c r="H184" s="40" t="n">
        <f aca="false">'Diagnosis &amp; Store Segmentation'!AO114</f>
        <v>0</v>
      </c>
      <c r="I184" s="40" t="n">
        <f aca="false">'Diagnosis &amp; Store Segmentation'!AV114</f>
        <v>0.84</v>
      </c>
      <c r="J184" s="40" t="n">
        <f aca="false">'Diagnosis &amp; Store Segmentation'!AL114</f>
        <v>5.7521386253586</v>
      </c>
      <c r="K184" s="39" t="n">
        <f aca="false">'Diagnosis &amp; Store Segmentation'!AR114*'Diagnosis &amp; Store Segmentation'!AU114</f>
        <v>0</v>
      </c>
      <c r="L184" s="39" t="n">
        <f aca="false">'Diagnosis &amp; Store Segmentation'!E114</f>
        <v>1434.42391304348</v>
      </c>
      <c r="M184" s="40" t="n">
        <f aca="false">'Diagnosis &amp; Store Segmentation'!F114</f>
        <v>294.4191103944</v>
      </c>
      <c r="N184" s="40" t="n">
        <f aca="false">'Diagnosis &amp; Store Segmentation'!AG114*100*'Diagnosis &amp; Store Segmentation'!F114</f>
        <v>0</v>
      </c>
      <c r="O184" s="39" t="n">
        <f aca="false">'Diagnosis &amp; Store Segmentation'!BE114</f>
        <v>377.652173913044</v>
      </c>
      <c r="P184" s="40" t="n">
        <f aca="false">'Diagnosis &amp; Store Segmentation'!T114</f>
        <v>3</v>
      </c>
      <c r="Q184" s="40" t="n">
        <f aca="false">'Diagnosis &amp; Store Segmentation'!BH114</f>
        <v>42.584604</v>
      </c>
      <c r="R184" s="40" t="n">
        <f aca="false">'Diagnosis &amp; Store Segmentation'!BI114</f>
        <v>69.6190476190476</v>
      </c>
      <c r="S184" s="48" t="str">
        <f aca="false">'Diagnosis &amp; Store Segmentation'!BL114</f>
        <v>Optimise</v>
      </c>
      <c r="T184" s="40" t="n">
        <f aca="false">INDEX('Diagnosis &amp; Store Segmentation'!$O$106:$O$165,MATCH('Diagnosis &amp; Store Segmentation'!BC114,'Diagnosis &amp; Store Segmentation'!$A$106:$A$165,0))</f>
        <v>2.25532540083838</v>
      </c>
      <c r="U184" s="40" t="n">
        <f aca="false">IF(P184&lt;='Assumptions &amp; Data'!$C$74,MIN($C$13*L184,O184),0)</f>
        <v>0</v>
      </c>
      <c r="V184" s="40" t="n">
        <f aca="false">-C184+U184*'Assumptions &amp; Data'!$C$63/'Assumptions &amp; Data'!$C$85*('Diagnosis &amp; Store Segmentation'!$B$12-'Assumptions &amp; Data'!$C$71)/100000</f>
        <v>-15.5012129383363</v>
      </c>
      <c r="W184" s="40" t="n">
        <f aca="false">IF(V184&gt;0,Q184/V184,99)</f>
        <v>99</v>
      </c>
      <c r="X184" s="40" t="n">
        <f aca="false">IF(AND(B184="Close",U184&gt;0,W184&lt;=$C$12,OR(S184&lt;&gt;"Close",C184&lt;T184)),1,0)</f>
        <v>0</v>
      </c>
      <c r="Y184" s="40" t="n">
        <f aca="false">(1-X184)*($C$6*(D184-$C$7*E184)+$C$8*F184+$C$9*G184+$C$10*H184+$C$11*I184)</f>
        <v>0.739574278439897</v>
      </c>
      <c r="Z184" s="40" t="n">
        <f aca="false">IF(X184=1,"closed",C184+Y184*(1-$C$14))</f>
        <v>16.1520383033635</v>
      </c>
      <c r="AA184" s="40" t="n">
        <f aca="false">IF(P184&lt;='Assumptions &amp; Data'!$C$74,MIN($D$13*L184,O184),0)</f>
        <v>0</v>
      </c>
      <c r="AB184" s="40" t="n">
        <f aca="false">-C184+AA184*'Assumptions &amp; Data'!$C$63/'Assumptions &amp; Data'!$C$85*('Diagnosis &amp; Store Segmentation'!$B$12-'Assumptions &amp; Data'!$C$71)/100000</f>
        <v>-15.5012129383363</v>
      </c>
      <c r="AC184" s="40" t="n">
        <f aca="false">IF(AB184&gt;0,Q184/AB184,99)</f>
        <v>99</v>
      </c>
      <c r="AD184" s="40" t="n">
        <f aca="false">IF(AND(B184="Close",AA184&gt;0,AC184&lt;=$D$12,OR(S184&lt;&gt;"Close",C184&lt;T184)),1,0)</f>
        <v>0</v>
      </c>
      <c r="AE184" s="40" t="n">
        <f aca="false">(1-AD184)*($D$6*(D184-$D$7*E184)+$D$8*F184+$D$9*G184+$D$10*H184+$D$11*I184)</f>
        <v>1.15136141765985</v>
      </c>
      <c r="AF184" s="40" t="n">
        <f aca="false">IF(AD184=1,"closed",C184+AE184*(1-$D$14))</f>
        <v>16.5604654425834</v>
      </c>
      <c r="AG184" s="40" t="n">
        <f aca="false">IF(P184&lt;='Assumptions &amp; Data'!$C$74,MIN($E$13*L184,O184),0)</f>
        <v>0</v>
      </c>
      <c r="AH184" s="40" t="n">
        <f aca="false">-C184+AG184*'Assumptions &amp; Data'!$C$63/'Assumptions &amp; Data'!$C$85*('Diagnosis &amp; Store Segmentation'!$B$12-'Assumptions &amp; Data'!$C$71)/100000</f>
        <v>-15.5012129383363</v>
      </c>
      <c r="AI184" s="40" t="n">
        <f aca="false">IF(AH184&gt;0,Q184/AH184,99)</f>
        <v>99</v>
      </c>
      <c r="AJ184" s="40" t="n">
        <f aca="false">IF(AND(B184="Close",AG184&gt;0,AI184&lt;=$E$12,OR(S184&lt;&gt;"Close",C184&lt;T184)),1,0)</f>
        <v>0</v>
      </c>
      <c r="AK184" s="40" t="n">
        <f aca="false">(1-AJ184)*($E$6*(D184-$E$7*E184)+$E$8*F184+$E$9*G184+$E$10*H184+$E$11*I184)</f>
        <v>1.50220177207481</v>
      </c>
      <c r="AL184" s="40" t="n">
        <f aca="false">IF(AJ184=1,"closed",C184+AK184*(1-$E$14))</f>
        <v>16.9283046218074</v>
      </c>
    </row>
    <row r="185" customFormat="false" ht="15" hidden="false" customHeight="false" outlineLevel="0" collapsed="false">
      <c r="A185" s="48" t="str">
        <f aca="false">'Diagnosis &amp; Store Segmentation'!A115</f>
        <v>DS010</v>
      </c>
      <c r="B185" s="48" t="str">
        <f aca="false">'Diagnosis &amp; Store Segmentation'!BK115</f>
        <v>Optimise</v>
      </c>
      <c r="C185" s="40" t="n">
        <f aca="false">'Diagnosis &amp; Store Segmentation'!O115</f>
        <v>14.9782902208341</v>
      </c>
      <c r="D185" s="40" t="n">
        <f aca="false">'Diagnosis &amp; Store Segmentation'!AH115</f>
        <v>0</v>
      </c>
      <c r="E185" s="40" t="n">
        <f aca="false">'Diagnosis &amp; Store Segmentation'!AI115</f>
        <v>0</v>
      </c>
      <c r="F185" s="40" t="n">
        <f aca="false">'Diagnosis &amp; Store Segmentation'!AK115</f>
        <v>3.34495507881647</v>
      </c>
      <c r="G185" s="40" t="n">
        <f aca="false">'Diagnosis &amp; Store Segmentation'!AM115</f>
        <v>0.690354438797111</v>
      </c>
      <c r="H185" s="40" t="n">
        <f aca="false">'Diagnosis &amp; Store Segmentation'!AO115</f>
        <v>0</v>
      </c>
      <c r="I185" s="40" t="n">
        <f aca="false">'Diagnosis &amp; Store Segmentation'!AV115</f>
        <v>0</v>
      </c>
      <c r="J185" s="40" t="n">
        <f aca="false">'Diagnosis &amp; Store Segmentation'!AL115</f>
        <v>3.25777187861409</v>
      </c>
      <c r="K185" s="39" t="n">
        <f aca="false">'Diagnosis &amp; Store Segmentation'!AR115*'Diagnosis &amp; Store Segmentation'!AU115</f>
        <v>0</v>
      </c>
      <c r="L185" s="39" t="n">
        <f aca="false">'Diagnosis &amp; Store Segmentation'!E115</f>
        <v>1796.78260869565</v>
      </c>
      <c r="M185" s="40" t="n">
        <f aca="false">'Diagnosis &amp; Store Segmentation'!F115</f>
        <v>349.741850773667</v>
      </c>
      <c r="N185" s="40" t="n">
        <f aca="false">'Diagnosis &amp; Store Segmentation'!AG115*100*'Diagnosis &amp; Store Segmentation'!F115</f>
        <v>0</v>
      </c>
      <c r="O185" s="39" t="n">
        <f aca="false">'Diagnosis &amp; Store Segmentation'!BE115</f>
        <v>1206.55434782609</v>
      </c>
      <c r="P185" s="40" t="n">
        <f aca="false">'Diagnosis &amp; Store Segmentation'!T115</f>
        <v>3.4</v>
      </c>
      <c r="Q185" s="40" t="n">
        <f aca="false">'Diagnosis &amp; Store Segmentation'!BH115</f>
        <v>39.704523</v>
      </c>
      <c r="R185" s="40" t="n">
        <f aca="false">'Diagnosis &amp; Store Segmentation'!BI115</f>
        <v>109.285714285714</v>
      </c>
      <c r="S185" s="48" t="str">
        <f aca="false">'Diagnosis &amp; Store Segmentation'!BL115</f>
        <v>Relocate or resize</v>
      </c>
      <c r="T185" s="40" t="n">
        <f aca="false">INDEX('Diagnosis &amp; Store Segmentation'!$O$106:$O$165,MATCH('Diagnosis &amp; Store Segmentation'!BC115,'Diagnosis &amp; Store Segmentation'!$A$106:$A$165,0))</f>
        <v>-11.0775283444284</v>
      </c>
      <c r="U185" s="40" t="n">
        <f aca="false">IF(P185&lt;='Assumptions &amp; Data'!$C$74,MIN($C$13*L185,O185),0)</f>
        <v>0</v>
      </c>
      <c r="V185" s="40" t="n">
        <f aca="false">-C185+U185*'Assumptions &amp; Data'!$C$63/'Assumptions &amp; Data'!$C$85*('Diagnosis &amp; Store Segmentation'!$B$12-'Assumptions &amp; Data'!$C$71)/100000</f>
        <v>-14.9782902208341</v>
      </c>
      <c r="W185" s="40" t="n">
        <f aca="false">IF(V185&gt;0,Q185/V185,99)</f>
        <v>99</v>
      </c>
      <c r="X185" s="40" t="n">
        <f aca="false">IF(AND(B185="Close",U185&gt;0,W185&lt;=$C$12,OR(S185&lt;&gt;"Close",C185&lt;T185)),1,0)</f>
        <v>0</v>
      </c>
      <c r="Y185" s="40" t="n">
        <f aca="false">(1-X185)*($C$6*(D185-$C$7*E185)+$C$8*F185+$C$9*G185+$C$10*H185+$C$11*I185)</f>
        <v>1.61412380704543</v>
      </c>
      <c r="Z185" s="40" t="n">
        <f aca="false">IF(X185=1,"closed",C185+Y185*(1-$C$14))</f>
        <v>16.3987191710341</v>
      </c>
      <c r="AA185" s="40" t="n">
        <f aca="false">IF(P185&lt;='Assumptions &amp; Data'!$C$74,MIN($D$13*L185,O185),0)</f>
        <v>0</v>
      </c>
      <c r="AB185" s="40" t="n">
        <f aca="false">-C185+AA185*'Assumptions &amp; Data'!$C$63/'Assumptions &amp; Data'!$C$85*('Diagnosis &amp; Store Segmentation'!$B$12-'Assumptions &amp; Data'!$C$71)/100000</f>
        <v>-14.9782902208341</v>
      </c>
      <c r="AC185" s="40" t="n">
        <f aca="false">IF(AB185&gt;0,Q185/AB185,99)</f>
        <v>99</v>
      </c>
      <c r="AD185" s="40" t="n">
        <f aca="false">IF(AND(B185="Close",AA185&gt;0,AC185&lt;=$D$12,OR(S185&lt;&gt;"Close",C185&lt;T185)),1,0)</f>
        <v>0</v>
      </c>
      <c r="AE185" s="40" t="n">
        <f aca="false">(1-AD185)*($D$6*(D185-$D$7*E185)+$D$8*F185+$D$9*G185+$D$10*H185+$D$11*I185)</f>
        <v>2.42118571056815</v>
      </c>
      <c r="AF185" s="40" t="n">
        <f aca="false">IF(AD185=1,"closed",C185+AE185*(1-$D$14))</f>
        <v>17.2057810745568</v>
      </c>
      <c r="AG185" s="40" t="n">
        <f aca="false">IF(P185&lt;='Assumptions &amp; Data'!$C$74,MIN($E$13*L185,O185),0)</f>
        <v>0</v>
      </c>
      <c r="AH185" s="40" t="n">
        <f aca="false">-C185+AG185*'Assumptions &amp; Data'!$C$63/'Assumptions &amp; Data'!$C$85*('Diagnosis &amp; Store Segmentation'!$B$12-'Assumptions &amp; Data'!$C$71)/100000</f>
        <v>-14.9782902208341</v>
      </c>
      <c r="AI185" s="40" t="n">
        <f aca="false">IF(AH185&gt;0,Q185/AH185,99)</f>
        <v>99</v>
      </c>
      <c r="AJ185" s="40" t="n">
        <f aca="false">IF(AND(B185="Close",AG185&gt;0,AI185&lt;=$E$12,OR(S185&lt;&gt;"Close",C185&lt;T185)),1,0)</f>
        <v>0</v>
      </c>
      <c r="AK185" s="40" t="n">
        <f aca="false">(1-AJ185)*($E$6*(D185-$E$7*E185)+$E$8*F185+$E$9*G185+$E$10*H185+$E$11*I185)</f>
        <v>3.02648213821019</v>
      </c>
      <c r="AL185" s="40" t="n">
        <f aca="false">IF(AJ185=1,"closed",C185+AK185*(1-$E$14))</f>
        <v>17.8534482521338</v>
      </c>
    </row>
    <row r="186" customFormat="false" ht="15" hidden="false" customHeight="false" outlineLevel="0" collapsed="false">
      <c r="A186" s="48" t="str">
        <f aca="false">'Diagnosis &amp; Store Segmentation'!A116</f>
        <v>DS011</v>
      </c>
      <c r="B186" s="48" t="str">
        <f aca="false">'Diagnosis &amp; Store Segmentation'!BK116</f>
        <v>Scale</v>
      </c>
      <c r="C186" s="40" t="n">
        <f aca="false">'Diagnosis &amp; Store Segmentation'!O116</f>
        <v>7.93869642213546</v>
      </c>
      <c r="D186" s="40" t="n">
        <f aca="false">'Diagnosis &amp; Store Segmentation'!AH116</f>
        <v>0</v>
      </c>
      <c r="E186" s="40" t="n">
        <f aca="false">'Diagnosis &amp; Store Segmentation'!AI116</f>
        <v>0</v>
      </c>
      <c r="F186" s="40" t="n">
        <f aca="false">'Diagnosis &amp; Store Segmentation'!AK116</f>
        <v>0</v>
      </c>
      <c r="G186" s="40" t="n">
        <f aca="false">'Diagnosis &amp; Store Segmentation'!AM116</f>
        <v>0.200596001664675</v>
      </c>
      <c r="H186" s="40" t="n">
        <f aca="false">'Diagnosis &amp; Store Segmentation'!AO116</f>
        <v>0</v>
      </c>
      <c r="I186" s="40" t="n">
        <f aca="false">'Diagnosis &amp; Store Segmentation'!AV116</f>
        <v>0</v>
      </c>
      <c r="J186" s="40" t="n">
        <f aca="false">'Diagnosis &amp; Store Segmentation'!AL116</f>
        <v>0.946609417510619</v>
      </c>
      <c r="K186" s="39" t="n">
        <f aca="false">'Diagnosis &amp; Store Segmentation'!AR116*'Diagnosis &amp; Store Segmentation'!AU116</f>
        <v>0</v>
      </c>
      <c r="L186" s="39" t="n">
        <f aca="false">'Diagnosis &amp; Store Segmentation'!E116</f>
        <v>1058.04347826087</v>
      </c>
      <c r="M186" s="40" t="n">
        <f aca="false">'Diagnosis &amp; Store Segmentation'!F116</f>
        <v>187.808315456</v>
      </c>
      <c r="N186" s="40" t="n">
        <f aca="false">'Diagnosis &amp; Store Segmentation'!AG116*100*'Diagnosis &amp; Store Segmentation'!F116</f>
        <v>0</v>
      </c>
      <c r="O186" s="39" t="n">
        <f aca="false">'Diagnosis &amp; Store Segmentation'!BE116</f>
        <v>499.978260869565</v>
      </c>
      <c r="P186" s="40" t="n">
        <f aca="false">'Diagnosis &amp; Store Segmentation'!T116</f>
        <v>1</v>
      </c>
      <c r="Q186" s="40" t="n">
        <f aca="false">'Diagnosis &amp; Store Segmentation'!BH116</f>
        <v>21.802392</v>
      </c>
      <c r="R186" s="40" t="n">
        <f aca="false">'Diagnosis &amp; Store Segmentation'!BI116</f>
        <v>65.5714285714286</v>
      </c>
      <c r="S186" s="48" t="str">
        <f aca="false">'Diagnosis &amp; Store Segmentation'!BL116</f>
        <v>Close</v>
      </c>
      <c r="T186" s="40" t="n">
        <f aca="false">INDEX('Diagnosis &amp; Store Segmentation'!$O$106:$O$165,MATCH('Diagnosis &amp; Store Segmentation'!BC116,'Diagnosis &amp; Store Segmentation'!$A$106:$A$165,0))</f>
        <v>-5.67919334642049</v>
      </c>
      <c r="U186" s="40" t="n">
        <f aca="false">IF(P186&lt;='Assumptions &amp; Data'!$C$74,MIN($C$13*L186,O186),0)</f>
        <v>476.119565217391</v>
      </c>
      <c r="V186" s="40" t="n">
        <f aca="false">-C186+U186*'Assumptions &amp; Data'!$C$63/'Assumptions &amp; Data'!$C$85*('Diagnosis &amp; Store Segmentation'!$B$12-'Assumptions &amp; Data'!$C$71)/100000</f>
        <v>0.0534577819742186</v>
      </c>
      <c r="W186" s="40" t="n">
        <f aca="false">IF(V186&gt;0,Q186/V186,99)</f>
        <v>407.843183814001</v>
      </c>
      <c r="X186" s="40" t="n">
        <f aca="false">IF(AND(B186="Close",U186&gt;0,W186&lt;=$C$12,OR(S186&lt;&gt;"Close",C186&lt;T186)),1,0)</f>
        <v>0</v>
      </c>
      <c r="Y186" s="40" t="n">
        <f aca="false">(1-X186)*($C$6*(D186-$C$7*E186)+$C$8*F186+$C$9*G186+$C$10*H186+$C$11*I186)</f>
        <v>0.0802384006658701</v>
      </c>
      <c r="Z186" s="40" t="n">
        <f aca="false">IF(X186=1,"closed",C186+Y186*(1-$C$14))</f>
        <v>8.00930621472143</v>
      </c>
      <c r="AA186" s="40" t="n">
        <f aca="false">IF(P186&lt;='Assumptions &amp; Data'!$C$74,MIN($D$13*L186,O186),0)</f>
        <v>499.978260869565</v>
      </c>
      <c r="AB186" s="40" t="n">
        <f aca="false">-C186+AA186*'Assumptions &amp; Data'!$C$63/'Assumptions &amp; Data'!$C$85*('Diagnosis &amp; Store Segmentation'!$B$12-'Assumptions &amp; Data'!$C$71)/100000</f>
        <v>0.453950407548282</v>
      </c>
      <c r="AC186" s="40" t="n">
        <f aca="false">IF(AB186&gt;0,Q186/AB186,99)</f>
        <v>48.0281361960912</v>
      </c>
      <c r="AD186" s="40" t="n">
        <f aca="false">IF(AND(B186="Close",AA186&gt;0,AC186&lt;=$D$12,OR(S186&lt;&gt;"Close",C186&lt;T186)),1,0)</f>
        <v>0</v>
      </c>
      <c r="AE186" s="40" t="n">
        <f aca="false">(1-AD186)*($D$6*(D186-$D$7*E186)+$D$8*F186+$D$9*G186+$D$10*H186+$D$11*I186)</f>
        <v>0.120357600998805</v>
      </c>
      <c r="AF186" s="40" t="n">
        <f aca="false">IF(AD186=1,"closed",C186+AE186*(1-$D$14))</f>
        <v>8.04942541505436</v>
      </c>
      <c r="AG186" s="40" t="n">
        <f aca="false">IF(P186&lt;='Assumptions &amp; Data'!$C$74,MIN($E$13*L186,O186),0)</f>
        <v>499.978260869565</v>
      </c>
      <c r="AH186" s="40" t="n">
        <f aca="false">-C186+AG186*'Assumptions &amp; Data'!$C$63/'Assumptions &amp; Data'!$C$85*('Diagnosis &amp; Store Segmentation'!$B$12-'Assumptions &amp; Data'!$C$71)/100000</f>
        <v>0.453950407548282</v>
      </c>
      <c r="AI186" s="40" t="n">
        <f aca="false">IF(AH186&gt;0,Q186/AH186,99)</f>
        <v>48.0281361960912</v>
      </c>
      <c r="AJ186" s="40" t="n">
        <f aca="false">IF(AND(B186="Close",AG186&gt;0,AI186&lt;=$E$12,OR(S186&lt;&gt;"Close",C186&lt;T186)),1,0)</f>
        <v>0</v>
      </c>
      <c r="AK186" s="40" t="n">
        <f aca="false">(1-AJ186)*($E$6*(D186-$E$7*E186)+$E$8*F186+$E$9*G186+$E$10*H186+$E$11*I186)</f>
        <v>0.150447001248506</v>
      </c>
      <c r="AL186" s="40" t="n">
        <f aca="false">IF(AJ186=1,"closed",C186+AK186*(1-$E$14))</f>
        <v>8.08162107332155</v>
      </c>
    </row>
    <row r="187" customFormat="false" ht="15" hidden="false" customHeight="false" outlineLevel="0" collapsed="false">
      <c r="A187" s="48" t="str">
        <f aca="false">'Diagnosis &amp; Store Segmentation'!A117</f>
        <v>DS012</v>
      </c>
      <c r="B187" s="48" t="str">
        <f aca="false">'Diagnosis &amp; Store Segmentation'!BK117</f>
        <v>Scale</v>
      </c>
      <c r="C187" s="40" t="n">
        <f aca="false">'Diagnosis &amp; Store Segmentation'!O117</f>
        <v>14.9286191806805</v>
      </c>
      <c r="D187" s="40" t="n">
        <f aca="false">'Diagnosis &amp; Store Segmentation'!AH117</f>
        <v>0</v>
      </c>
      <c r="E187" s="40" t="n">
        <f aca="false">'Diagnosis &amp; Store Segmentation'!AI117</f>
        <v>0</v>
      </c>
      <c r="F187" s="40" t="n">
        <f aca="false">'Diagnosis &amp; Store Segmentation'!AK117</f>
        <v>0</v>
      </c>
      <c r="G187" s="40" t="n">
        <f aca="false">'Diagnosis &amp; Store Segmentation'!AM117</f>
        <v>0.245378752550938</v>
      </c>
      <c r="H187" s="40" t="n">
        <f aca="false">'Diagnosis &amp; Store Segmentation'!AO117</f>
        <v>0</v>
      </c>
      <c r="I187" s="40" t="n">
        <f aca="false">'Diagnosis &amp; Store Segmentation'!AV117</f>
        <v>0</v>
      </c>
      <c r="J187" s="40" t="n">
        <f aca="false">'Diagnosis &amp; Store Segmentation'!AL117</f>
        <v>1.15793852367013</v>
      </c>
      <c r="K187" s="39" t="n">
        <f aca="false">'Diagnosis &amp; Store Segmentation'!AR117*'Diagnosis &amp; Store Segmentation'!AU117</f>
        <v>0</v>
      </c>
      <c r="L187" s="39" t="n">
        <f aca="false">'Diagnosis &amp; Store Segmentation'!E117</f>
        <v>1418.92391304348</v>
      </c>
      <c r="M187" s="40" t="n">
        <f aca="false">'Diagnosis &amp; Store Segmentation'!F117</f>
        <v>272.5231383344</v>
      </c>
      <c r="N187" s="40" t="n">
        <f aca="false">'Diagnosis &amp; Store Segmentation'!AG117*100*'Diagnosis &amp; Store Segmentation'!F117</f>
        <v>0</v>
      </c>
      <c r="O187" s="39" t="n">
        <f aca="false">'Diagnosis &amp; Store Segmentation'!BE117</f>
        <v>86.9347826086957</v>
      </c>
      <c r="P187" s="40" t="n">
        <f aca="false">'Diagnosis &amp; Store Segmentation'!T117</f>
        <v>1.2</v>
      </c>
      <c r="Q187" s="40" t="n">
        <f aca="false">'Diagnosis &amp; Store Segmentation'!BH117</f>
        <v>97.190952</v>
      </c>
      <c r="R187" s="40" t="n">
        <f aca="false">'Diagnosis &amp; Store Segmentation'!BI117</f>
        <v>60.9166666666667</v>
      </c>
      <c r="S187" s="48" t="str">
        <f aca="false">'Diagnosis &amp; Store Segmentation'!BL117</f>
        <v>Scale</v>
      </c>
      <c r="T187" s="40" t="n">
        <f aca="false">INDEX('Diagnosis &amp; Store Segmentation'!$O$106:$O$165,MATCH('Diagnosis &amp; Store Segmentation'!BC117,'Diagnosis &amp; Store Segmentation'!$A$106:$A$165,0))</f>
        <v>10.1868583742564</v>
      </c>
      <c r="U187" s="40" t="n">
        <f aca="false">IF(P187&lt;='Assumptions &amp; Data'!$C$74,MIN($C$13*L187,O187),0)</f>
        <v>86.9347826086957</v>
      </c>
      <c r="V187" s="40" t="n">
        <f aca="false">-C187+U187*'Assumptions &amp; Data'!$C$63/'Assumptions &amp; Data'!$C$85*('Diagnosis &amp; Store Segmentation'!$B$12-'Assumptions &amp; Data'!$C$71)/100000</f>
        <v>-13.4693298780193</v>
      </c>
      <c r="W187" s="40" t="n">
        <f aca="false">IF(V187&gt;0,Q187/V187,99)</f>
        <v>99</v>
      </c>
      <c r="X187" s="40" t="n">
        <f aca="false">IF(AND(B187="Close",U187&gt;0,W187&lt;=$C$12,OR(S187&lt;&gt;"Close",C187&lt;T187)),1,0)</f>
        <v>0</v>
      </c>
      <c r="Y187" s="40" t="n">
        <f aca="false">(1-X187)*($C$6*(D187-$C$7*E187)+$C$8*F187+$C$9*G187+$C$10*H187+$C$11*I187)</f>
        <v>0.0981515010203751</v>
      </c>
      <c r="Z187" s="40" t="n">
        <f aca="false">IF(X187=1,"closed",C187+Y187*(1-$C$14))</f>
        <v>15.0149925015785</v>
      </c>
      <c r="AA187" s="40" t="n">
        <f aca="false">IF(P187&lt;='Assumptions &amp; Data'!$C$74,MIN($D$13*L187,O187),0)</f>
        <v>86.9347826086957</v>
      </c>
      <c r="AB187" s="40" t="n">
        <f aca="false">-C187+AA187*'Assumptions &amp; Data'!$C$63/'Assumptions &amp; Data'!$C$85*('Diagnosis &amp; Store Segmentation'!$B$12-'Assumptions &amp; Data'!$C$71)/100000</f>
        <v>-13.4693298780193</v>
      </c>
      <c r="AC187" s="40" t="n">
        <f aca="false">IF(AB187&gt;0,Q187/AB187,99)</f>
        <v>99</v>
      </c>
      <c r="AD187" s="40" t="n">
        <f aca="false">IF(AND(B187="Close",AA187&gt;0,AC187&lt;=$D$12,OR(S187&lt;&gt;"Close",C187&lt;T187)),1,0)</f>
        <v>0</v>
      </c>
      <c r="AE187" s="40" t="n">
        <f aca="false">(1-AD187)*($D$6*(D187-$D$7*E187)+$D$8*F187+$D$9*G187+$D$10*H187+$D$11*I187)</f>
        <v>0.147227251530563</v>
      </c>
      <c r="AF187" s="40" t="n">
        <f aca="false">IF(AD187=1,"closed",C187+AE187*(1-$D$14))</f>
        <v>15.0640682520887</v>
      </c>
      <c r="AG187" s="40" t="n">
        <f aca="false">IF(P187&lt;='Assumptions &amp; Data'!$C$74,MIN($E$13*L187,O187),0)</f>
        <v>86.9347826086957</v>
      </c>
      <c r="AH187" s="40" t="n">
        <f aca="false">-C187+AG187*'Assumptions &amp; Data'!$C$63/'Assumptions &amp; Data'!$C$85*('Diagnosis &amp; Store Segmentation'!$B$12-'Assumptions &amp; Data'!$C$71)/100000</f>
        <v>-13.4693298780193</v>
      </c>
      <c r="AI187" s="40" t="n">
        <f aca="false">IF(AH187&gt;0,Q187/AH187,99)</f>
        <v>99</v>
      </c>
      <c r="AJ187" s="40" t="n">
        <f aca="false">IF(AND(B187="Close",AG187&gt;0,AI187&lt;=$E$12,OR(S187&lt;&gt;"Close",C187&lt;T187)),1,0)</f>
        <v>0</v>
      </c>
      <c r="AK187" s="40" t="n">
        <f aca="false">(1-AJ187)*($E$6*(D187-$E$7*E187)+$E$8*F187+$E$9*G187+$E$10*H187+$E$11*I187)</f>
        <v>0.184034064413203</v>
      </c>
      <c r="AL187" s="40" t="n">
        <f aca="false">IF(AJ187=1,"closed",C187+AK187*(1-$E$14))</f>
        <v>15.1034515418731</v>
      </c>
    </row>
    <row r="188" customFormat="false" ht="15" hidden="false" customHeight="false" outlineLevel="0" collapsed="false">
      <c r="A188" s="48" t="str">
        <f aca="false">'Diagnosis &amp; Store Segmentation'!A118</f>
        <v>DS013</v>
      </c>
      <c r="B188" s="48" t="str">
        <f aca="false">'Diagnosis &amp; Store Segmentation'!BK118</f>
        <v>Optimise</v>
      </c>
      <c r="C188" s="40" t="n">
        <f aca="false">'Diagnosis &amp; Store Segmentation'!O118</f>
        <v>2.42106159931451</v>
      </c>
      <c r="D188" s="40" t="n">
        <f aca="false">'Diagnosis &amp; Store Segmentation'!AH118</f>
        <v>0.046133690089031</v>
      </c>
      <c r="E188" s="40" t="n">
        <f aca="false">'Diagnosis &amp; Store Segmentation'!AI118</f>
        <v>0.486428000938478</v>
      </c>
      <c r="F188" s="40" t="n">
        <f aca="false">'Diagnosis &amp; Store Segmentation'!AK118</f>
        <v>0</v>
      </c>
      <c r="G188" s="40" t="n">
        <f aca="false">'Diagnosis &amp; Store Segmentation'!AM118</f>
        <v>0.0040841715865316</v>
      </c>
      <c r="H188" s="40" t="n">
        <f aca="false">'Diagnosis &amp; Store Segmentation'!AO118</f>
        <v>0.000253507954984086</v>
      </c>
      <c r="I188" s="40" t="n">
        <f aca="false">'Diagnosis &amp; Store Segmentation'!AV118</f>
        <v>0</v>
      </c>
      <c r="J188" s="40" t="n">
        <f aca="false">'Diagnosis &amp; Store Segmentation'!AL118</f>
        <v>0.0192731423082044</v>
      </c>
      <c r="K188" s="39" t="n">
        <f aca="false">'Diagnosis &amp; Store Segmentation'!AR118*'Diagnosis &amp; Store Segmentation'!AU118</f>
        <v>0</v>
      </c>
      <c r="L188" s="39" t="n">
        <f aca="false">'Diagnosis &amp; Store Segmentation'!E118</f>
        <v>902.597826086957</v>
      </c>
      <c r="M188" s="40" t="n">
        <f aca="false">'Diagnosis &amp; Store Segmentation'!F118</f>
        <v>153.656385565833</v>
      </c>
      <c r="N188" s="40" t="n">
        <f aca="false">'Diagnosis &amp; Store Segmentation'!AG118*100*'Diagnosis &amp; Store Segmentation'!F118</f>
        <v>4.35922404851523</v>
      </c>
      <c r="O188" s="39" t="n">
        <f aca="false">'Diagnosis &amp; Store Segmentation'!BE118</f>
        <v>0</v>
      </c>
      <c r="P188" s="40" t="n">
        <f aca="false">'Diagnosis &amp; Store Segmentation'!T118</f>
        <v>1.1</v>
      </c>
      <c r="Q188" s="40" t="n">
        <f aca="false">'Diagnosis &amp; Store Segmentation'!BH118</f>
        <v>86.113797</v>
      </c>
      <c r="R188" s="40" t="n">
        <f aca="false">'Diagnosis &amp; Store Segmentation'!BI118</f>
        <v>110.095238095238</v>
      </c>
      <c r="S188" s="48" t="str">
        <f aca="false">'Diagnosis &amp; Store Segmentation'!BL118</f>
        <v>Scale</v>
      </c>
      <c r="T188" s="40" t="n">
        <f aca="false">INDEX('Diagnosis &amp; Store Segmentation'!$O$106:$O$165,MATCH('Diagnosis &amp; Store Segmentation'!BC118,'Diagnosis &amp; Store Segmentation'!$A$106:$A$165,0))</f>
        <v>7.68757747130475</v>
      </c>
      <c r="U188" s="40" t="n">
        <f aca="false">IF(P188&lt;='Assumptions &amp; Data'!$C$74,MIN($C$13*L188,O188),0)</f>
        <v>0</v>
      </c>
      <c r="V188" s="40" t="n">
        <f aca="false">-C188+U188*'Assumptions &amp; Data'!$C$63/'Assumptions &amp; Data'!$C$85*('Diagnosis &amp; Store Segmentation'!$B$12-'Assumptions &amp; Data'!$C$71)/100000</f>
        <v>-2.42106159931451</v>
      </c>
      <c r="W188" s="40" t="n">
        <f aca="false">IF(V188&gt;0,Q188/V188,99)</f>
        <v>99</v>
      </c>
      <c r="X188" s="40" t="n">
        <f aca="false">IF(AND(B188="Close",U188&gt;0,W188&lt;=$C$12,OR(S188&lt;&gt;"Close",C188&lt;T188)),1,0)</f>
        <v>0</v>
      </c>
      <c r="Y188" s="40" t="n">
        <f aca="false">(1-X188)*($C$6*(D188-$C$7*E188)+$C$8*F188+$C$9*G188+$C$10*H188+$C$11*I188)</f>
        <v>0.0211283560585848</v>
      </c>
      <c r="Z188" s="40" t="n">
        <f aca="false">IF(X188=1,"closed",C188+Y188*(1-$C$14))</f>
        <v>2.43965455264606</v>
      </c>
      <c r="AA188" s="40" t="n">
        <f aca="false">IF(P188&lt;='Assumptions &amp; Data'!$C$74,MIN($D$13*L188,O188),0)</f>
        <v>0</v>
      </c>
      <c r="AB188" s="40" t="n">
        <f aca="false">-C188+AA188*'Assumptions &amp; Data'!$C$63/'Assumptions &amp; Data'!$C$85*('Diagnosis &amp; Store Segmentation'!$B$12-'Assumptions &amp; Data'!$C$71)/100000</f>
        <v>-2.42106159931451</v>
      </c>
      <c r="AC188" s="40" t="n">
        <f aca="false">IF(AB188&gt;0,Q188/AB188,99)</f>
        <v>99</v>
      </c>
      <c r="AD188" s="40" t="n">
        <f aca="false">IF(AND(B188="Close",AA188&gt;0,AC188&lt;=$D$12,OR(S188&lt;&gt;"Close",C188&lt;T188)),1,0)</f>
        <v>0</v>
      </c>
      <c r="AE188" s="40" t="n">
        <f aca="false">(1-AD188)*($D$6*(D188-$D$7*E188)+$D$8*F188+$D$9*G188+$D$10*H188+$D$11*I188)</f>
        <v>0.0314658439851634</v>
      </c>
      <c r="AF188" s="40" t="n">
        <f aca="false">IF(AD188=1,"closed",C188+AE188*(1-$D$14))</f>
        <v>2.45001017578086</v>
      </c>
      <c r="AG188" s="40" t="n">
        <f aca="false">IF(P188&lt;='Assumptions &amp; Data'!$C$74,MIN($E$13*L188,O188),0)</f>
        <v>0</v>
      </c>
      <c r="AH188" s="40" t="n">
        <f aca="false">-C188+AG188*'Assumptions &amp; Data'!$C$63/'Assumptions &amp; Data'!$C$85*('Diagnosis &amp; Store Segmentation'!$B$12-'Assumptions &amp; Data'!$C$71)/100000</f>
        <v>-2.42106159931451</v>
      </c>
      <c r="AI188" s="40" t="n">
        <f aca="false">IF(AH188&gt;0,Q188/AH188,99)</f>
        <v>99</v>
      </c>
      <c r="AJ188" s="40" t="n">
        <f aca="false">IF(AND(B188="Close",AG188&gt;0,AI188&lt;=$E$12,OR(S188&lt;&gt;"Close",C188&lt;T188)),1,0)</f>
        <v>0</v>
      </c>
      <c r="AK188" s="40" t="n">
        <f aca="false">(1-AJ188)*($E$6*(D188-$E$7*E188)+$E$8*F188+$E$9*G188+$E$10*H188+$E$11*I188)</f>
        <v>0.0395472988307308</v>
      </c>
      <c r="AL188" s="40" t="n">
        <f aca="false">IF(AJ188=1,"closed",C188+AK188*(1-$E$14))</f>
        <v>2.4586315332037</v>
      </c>
    </row>
    <row r="189" customFormat="false" ht="15" hidden="false" customHeight="false" outlineLevel="0" collapsed="false">
      <c r="A189" s="48" t="str">
        <f aca="false">'Diagnosis &amp; Store Segmentation'!A119</f>
        <v>DS014</v>
      </c>
      <c r="B189" s="48" t="str">
        <f aca="false">'Diagnosis &amp; Store Segmentation'!BK119</f>
        <v>Optimise</v>
      </c>
      <c r="C189" s="40" t="n">
        <f aca="false">'Diagnosis &amp; Store Segmentation'!O119</f>
        <v>2.25532540083838</v>
      </c>
      <c r="D189" s="40" t="n">
        <f aca="false">'Diagnosis &amp; Store Segmentation'!AH119</f>
        <v>0</v>
      </c>
      <c r="E189" s="40" t="n">
        <f aca="false">'Diagnosis &amp; Store Segmentation'!AI119</f>
        <v>0</v>
      </c>
      <c r="F189" s="40" t="n">
        <f aca="false">'Diagnosis &amp; Store Segmentation'!AK119</f>
        <v>2.36847774969657</v>
      </c>
      <c r="G189" s="40" t="n">
        <f aca="false">'Diagnosis &amp; Store Segmentation'!AM119</f>
        <v>0</v>
      </c>
      <c r="H189" s="40" t="n">
        <f aca="false">'Diagnosis &amp; Store Segmentation'!AO119</f>
        <v>0</v>
      </c>
      <c r="I189" s="40" t="n">
        <f aca="false">'Diagnosis &amp; Store Segmentation'!AV119</f>
        <v>0</v>
      </c>
      <c r="J189" s="40" t="n">
        <f aca="false">'Diagnosis &amp; Store Segmentation'!AL119</f>
        <v>0</v>
      </c>
      <c r="K189" s="39" t="n">
        <f aca="false">'Diagnosis &amp; Store Segmentation'!AR119*'Diagnosis &amp; Store Segmentation'!AU119</f>
        <v>0</v>
      </c>
      <c r="L189" s="39" t="n">
        <f aca="false">'Diagnosis &amp; Store Segmentation'!E119</f>
        <v>918.347826086957</v>
      </c>
      <c r="M189" s="40" t="n">
        <f aca="false">'Diagnosis &amp; Store Segmentation'!F119</f>
        <v>171.685972849</v>
      </c>
      <c r="N189" s="40" t="n">
        <f aca="false">'Diagnosis &amp; Store Segmentation'!AG119*100*'Diagnosis &amp; Store Segmentation'!F119</f>
        <v>0</v>
      </c>
      <c r="O189" s="39" t="n">
        <f aca="false">'Diagnosis &amp; Store Segmentation'!BE119</f>
        <v>0</v>
      </c>
      <c r="P189" s="40" t="n">
        <f aca="false">'Diagnosis &amp; Store Segmentation'!T119</f>
        <v>3</v>
      </c>
      <c r="Q189" s="40" t="n">
        <f aca="false">'Diagnosis &amp; Store Segmentation'!BH119</f>
        <v>17.127291</v>
      </c>
      <c r="R189" s="40" t="n">
        <f aca="false">'Diagnosis &amp; Store Segmentation'!BI119</f>
        <v>106.857142857143</v>
      </c>
      <c r="S189" s="48" t="str">
        <f aca="false">'Diagnosis &amp; Store Segmentation'!BL119</f>
        <v>Optimise</v>
      </c>
      <c r="T189" s="40" t="n">
        <f aca="false">INDEX('Diagnosis &amp; Store Segmentation'!$O$106:$O$165,MATCH('Diagnosis &amp; Store Segmentation'!BC119,'Diagnosis &amp; Store Segmentation'!$A$106:$A$165,0))</f>
        <v>15.5012129383363</v>
      </c>
      <c r="U189" s="40" t="n">
        <f aca="false">IF(P189&lt;='Assumptions &amp; Data'!$C$74,MIN($C$13*L189,O189),0)</f>
        <v>0</v>
      </c>
      <c r="V189" s="40" t="n">
        <f aca="false">-C189+U189*'Assumptions &amp; Data'!$C$63/'Assumptions &amp; Data'!$C$85*('Diagnosis &amp; Store Segmentation'!$B$12-'Assumptions &amp; Data'!$C$71)/100000</f>
        <v>-2.25532540083838</v>
      </c>
      <c r="W189" s="40" t="n">
        <f aca="false">IF(V189&gt;0,Q189/V189,99)</f>
        <v>99</v>
      </c>
      <c r="X189" s="40" t="n">
        <f aca="false">IF(AND(B189="Close",U189&gt;0,W189&lt;=$C$12,OR(S189&lt;&gt;"Close",C189&lt;T189)),1,0)</f>
        <v>0</v>
      </c>
      <c r="Y189" s="40" t="n">
        <f aca="false">(1-X189)*($C$6*(D189-$C$7*E189)+$C$8*F189+$C$9*G189+$C$10*H189+$C$11*I189)</f>
        <v>0.94739109987863</v>
      </c>
      <c r="Z189" s="40" t="n">
        <f aca="false">IF(X189=1,"closed",C189+Y189*(1-$C$14))</f>
        <v>3.08902956873157</v>
      </c>
      <c r="AA189" s="40" t="n">
        <f aca="false">IF(P189&lt;='Assumptions &amp; Data'!$C$74,MIN($D$13*L189,O189),0)</f>
        <v>0</v>
      </c>
      <c r="AB189" s="40" t="n">
        <f aca="false">-C189+AA189*'Assumptions &amp; Data'!$C$63/'Assumptions &amp; Data'!$C$85*('Diagnosis &amp; Store Segmentation'!$B$12-'Assumptions &amp; Data'!$C$71)/100000</f>
        <v>-2.25532540083838</v>
      </c>
      <c r="AC189" s="40" t="n">
        <f aca="false">IF(AB189&gt;0,Q189/AB189,99)</f>
        <v>99</v>
      </c>
      <c r="AD189" s="40" t="n">
        <f aca="false">IF(AND(B189="Close",AA189&gt;0,AC189&lt;=$D$12,OR(S189&lt;&gt;"Close",C189&lt;T189)),1,0)</f>
        <v>0</v>
      </c>
      <c r="AE189" s="40" t="n">
        <f aca="false">(1-AD189)*($D$6*(D189-$D$7*E189)+$D$8*F189+$D$9*G189+$D$10*H189+$D$11*I189)</f>
        <v>1.42108664981794</v>
      </c>
      <c r="AF189" s="40" t="n">
        <f aca="false">IF(AD189=1,"closed",C189+AE189*(1-$D$14))</f>
        <v>3.56272511867089</v>
      </c>
      <c r="AG189" s="40" t="n">
        <f aca="false">IF(P189&lt;='Assumptions &amp; Data'!$C$74,MIN($E$13*L189,O189),0)</f>
        <v>0</v>
      </c>
      <c r="AH189" s="40" t="n">
        <f aca="false">-C189+AG189*'Assumptions &amp; Data'!$C$63/'Assumptions &amp; Data'!$C$85*('Diagnosis &amp; Store Segmentation'!$B$12-'Assumptions &amp; Data'!$C$71)/100000</f>
        <v>-2.25532540083838</v>
      </c>
      <c r="AI189" s="40" t="n">
        <f aca="false">IF(AH189&gt;0,Q189/AH189,99)</f>
        <v>99</v>
      </c>
      <c r="AJ189" s="40" t="n">
        <f aca="false">IF(AND(B189="Close",AG189&gt;0,AI189&lt;=$E$12,OR(S189&lt;&gt;"Close",C189&lt;T189)),1,0)</f>
        <v>0</v>
      </c>
      <c r="AK189" s="40" t="n">
        <f aca="false">(1-AJ189)*($E$6*(D189-$E$7*E189)+$E$8*F189+$E$9*G189+$E$10*H189+$E$11*I189)</f>
        <v>1.77635831227243</v>
      </c>
      <c r="AL189" s="40" t="n">
        <f aca="false">IF(AJ189=1,"closed",C189+AK189*(1-$E$14))</f>
        <v>3.94286579749719</v>
      </c>
    </row>
    <row r="190" customFormat="false" ht="15" hidden="false" customHeight="false" outlineLevel="0" collapsed="false">
      <c r="A190" s="48" t="str">
        <f aca="false">'Diagnosis &amp; Store Segmentation'!A120</f>
        <v>DS015</v>
      </c>
      <c r="B190" s="48" t="str">
        <f aca="false">'Diagnosis &amp; Store Segmentation'!BK120</f>
        <v>Turn around</v>
      </c>
      <c r="C190" s="40" t="n">
        <f aca="false">'Diagnosis &amp; Store Segmentation'!O120</f>
        <v>-7.66807663572752</v>
      </c>
      <c r="D190" s="40" t="n">
        <f aca="false">'Diagnosis &amp; Store Segmentation'!AH120</f>
        <v>1.04794239886106</v>
      </c>
      <c r="E190" s="40" t="n">
        <f aca="false">'Diagnosis &amp; Store Segmentation'!AI120</f>
        <v>7.05208954607551</v>
      </c>
      <c r="F190" s="40" t="n">
        <f aca="false">'Diagnosis &amp; Store Segmentation'!AK120</f>
        <v>0.724444483077619</v>
      </c>
      <c r="G190" s="40" t="n">
        <f aca="false">'Diagnosis &amp; Store Segmentation'!AM120</f>
        <v>1.64393961069396</v>
      </c>
      <c r="H190" s="40" t="n">
        <f aca="false">'Diagnosis &amp; Store Segmentation'!AO120</f>
        <v>1.11124200269406</v>
      </c>
      <c r="I190" s="40" t="n">
        <f aca="false">'Diagnosis &amp; Store Segmentation'!AV120</f>
        <v>0</v>
      </c>
      <c r="J190" s="40" t="n">
        <f aca="false">'Diagnosis &amp; Store Segmentation'!AL120</f>
        <v>7.08319880517886</v>
      </c>
      <c r="K190" s="39" t="n">
        <f aca="false">'Diagnosis &amp; Store Segmentation'!AR120*'Diagnosis &amp; Store Segmentation'!AU120</f>
        <v>0</v>
      </c>
      <c r="L190" s="39" t="n">
        <f aca="false">'Diagnosis &amp; Store Segmentation'!E120</f>
        <v>340.336956521739</v>
      </c>
      <c r="M190" s="40" t="n">
        <f aca="false">'Diagnosis &amp; Store Segmentation'!F120</f>
        <v>66.9328664670667</v>
      </c>
      <c r="N190" s="40" t="n">
        <f aca="false">'Diagnosis &amp; Store Segmentation'!AG120*100*'Diagnosis &amp; Store Segmentation'!F120</f>
        <v>97.5240836537101</v>
      </c>
      <c r="O190" s="39" t="n">
        <f aca="false">'Diagnosis &amp; Store Segmentation'!BE120</f>
        <v>728.880434782609</v>
      </c>
      <c r="P190" s="40" t="n">
        <f aca="false">'Diagnosis &amp; Store Segmentation'!T120</f>
        <v>2.7</v>
      </c>
      <c r="Q190" s="40" t="n">
        <f aca="false">'Diagnosis &amp; Store Segmentation'!BH120</f>
        <v>76.782096</v>
      </c>
      <c r="R190" s="40" t="n">
        <f aca="false">'Diagnosis &amp; Store Segmentation'!BI120</f>
        <v>124.666666666667</v>
      </c>
      <c r="S190" s="48" t="str">
        <f aca="false">'Diagnosis &amp; Store Segmentation'!BL120</f>
        <v>Relocate or resize</v>
      </c>
      <c r="T190" s="40" t="n">
        <f aca="false">INDEX('Diagnosis &amp; Store Segmentation'!$O$106:$O$165,MATCH('Diagnosis &amp; Store Segmentation'!BC120,'Diagnosis &amp; Store Segmentation'!$A$106:$A$165,0))</f>
        <v>-5.93977135065813</v>
      </c>
      <c r="U190" s="40" t="n">
        <f aca="false">IF(P190&lt;='Assumptions &amp; Data'!$C$74,MIN($C$13*L190,O190),0)</f>
        <v>0</v>
      </c>
      <c r="V190" s="40" t="n">
        <f aca="false">-C190+U190*'Assumptions &amp; Data'!$C$63/'Assumptions &amp; Data'!$C$85*('Diagnosis &amp; Store Segmentation'!$B$12-'Assumptions &amp; Data'!$C$71)/100000</f>
        <v>7.66807663572752</v>
      </c>
      <c r="W190" s="40" t="n">
        <f aca="false">IF(V190&gt;0,Q190/V190,99)</f>
        <v>10.0132144796588</v>
      </c>
      <c r="X190" s="40" t="n">
        <f aca="false">IF(AND(B190="Close",U190&gt;0,W190&lt;=$C$12,OR(S190&lt;&gt;"Close",C190&lt;T190)),1,0)</f>
        <v>0</v>
      </c>
      <c r="Y190" s="40" t="n">
        <f aca="false">(1-X190)*($C$6*(D190-$C$7*E190)+$C$8*F190+$C$9*G190+$C$10*H190+$C$11*I190)</f>
        <v>1.75180676615181</v>
      </c>
      <c r="Z190" s="40" t="n">
        <f aca="false">IF(X190=1,"closed",C190+Y190*(1-$C$14))</f>
        <v>-6.12648668151392</v>
      </c>
      <c r="AA190" s="40" t="n">
        <f aca="false">IF(P190&lt;='Assumptions &amp; Data'!$C$74,MIN($D$13*L190,O190),0)</f>
        <v>0</v>
      </c>
      <c r="AB190" s="40" t="n">
        <f aca="false">-C190+AA190*'Assumptions &amp; Data'!$C$63/'Assumptions &amp; Data'!$C$85*('Diagnosis &amp; Store Segmentation'!$B$12-'Assumptions &amp; Data'!$C$71)/100000</f>
        <v>7.66807663572752</v>
      </c>
      <c r="AC190" s="40" t="n">
        <f aca="false">IF(AB190&gt;0,Q190/AB190,99)</f>
        <v>10.0132144796588</v>
      </c>
      <c r="AD190" s="40" t="n">
        <f aca="false">IF(AND(B190="Close",AA190&gt;0,AC190&lt;=$D$12,OR(S190&lt;&gt;"Close",C190&lt;T190)),1,0)</f>
        <v>0</v>
      </c>
      <c r="AE190" s="40" t="n">
        <f aca="false">(1-AD190)*($D$6*(D190-$D$7*E190)+$D$8*F190+$D$9*G190+$D$10*H190+$D$11*I190)</f>
        <v>2.66084650999019</v>
      </c>
      <c r="AF190" s="40" t="n">
        <f aca="false">IF(AD190=1,"closed",C190+AE190*(1-$D$14))</f>
        <v>-5.22009784653654</v>
      </c>
      <c r="AG190" s="40" t="n">
        <f aca="false">IF(P190&lt;='Assumptions &amp; Data'!$C$74,MIN($E$13*L190,O190),0)</f>
        <v>0</v>
      </c>
      <c r="AH190" s="40" t="n">
        <f aca="false">-C190+AG190*'Assumptions &amp; Data'!$C$63/'Assumptions &amp; Data'!$C$85*('Diagnosis &amp; Store Segmentation'!$B$12-'Assumptions &amp; Data'!$C$71)/100000</f>
        <v>7.66807663572752</v>
      </c>
      <c r="AI190" s="40" t="n">
        <f aca="false">IF(AH190&gt;0,Q190/AH190,99)</f>
        <v>10.0132144796588</v>
      </c>
      <c r="AJ190" s="40" t="n">
        <f aca="false">IF(AND(B190="Close",AG190&gt;0,AI190&lt;=$E$12,OR(S190&lt;&gt;"Close",C190&lt;T190)),1,0)</f>
        <v>0</v>
      </c>
      <c r="AK190" s="40" t="n">
        <f aca="false">(1-AJ190)*($E$6*(D190-$E$7*E190)+$E$8*F190+$E$9*G190+$E$10*H190+$E$11*I190)</f>
        <v>3.34738647831258</v>
      </c>
      <c r="AL190" s="40" t="n">
        <f aca="false">IF(AJ190=1,"closed",C190+AK190*(1-$E$14))</f>
        <v>-4.48805948133057</v>
      </c>
    </row>
    <row r="191" customFormat="false" ht="15" hidden="false" customHeight="false" outlineLevel="0" collapsed="false">
      <c r="A191" s="48" t="str">
        <f aca="false">'Diagnosis &amp; Store Segmentation'!A121</f>
        <v>DS016</v>
      </c>
      <c r="B191" s="48" t="str">
        <f aca="false">'Diagnosis &amp; Store Segmentation'!BK121</f>
        <v>Close</v>
      </c>
      <c r="C191" s="40" t="n">
        <f aca="false">'Diagnosis &amp; Store Segmentation'!O121</f>
        <v>-5.81024560383688</v>
      </c>
      <c r="D191" s="40" t="n">
        <f aca="false">'Diagnosis &amp; Store Segmentation'!AH121</f>
        <v>0.0015610877409911</v>
      </c>
      <c r="E191" s="40" t="n">
        <f aca="false">'Diagnosis &amp; Store Segmentation'!AI121</f>
        <v>0.0152143679638679</v>
      </c>
      <c r="F191" s="40" t="n">
        <f aca="false">'Diagnosis &amp; Store Segmentation'!AK121</f>
        <v>0</v>
      </c>
      <c r="G191" s="40" t="n">
        <f aca="false">'Diagnosis &amp; Store Segmentation'!AM121</f>
        <v>0</v>
      </c>
      <c r="H191" s="40" t="n">
        <f aca="false">'Diagnosis &amp; Store Segmentation'!AO121</f>
        <v>1.31492197327762</v>
      </c>
      <c r="I191" s="40" t="n">
        <f aca="false">'Diagnosis &amp; Store Segmentation'!AV121</f>
        <v>0</v>
      </c>
      <c r="J191" s="40" t="n">
        <f aca="false">'Diagnosis &amp; Store Segmentation'!AL121</f>
        <v>0</v>
      </c>
      <c r="K191" s="39" t="n">
        <f aca="false">'Diagnosis &amp; Store Segmentation'!AR121*'Diagnosis &amp; Store Segmentation'!AU121</f>
        <v>0</v>
      </c>
      <c r="L191" s="39" t="n">
        <f aca="false">'Diagnosis &amp; Store Segmentation'!E121</f>
        <v>822.108695652174</v>
      </c>
      <c r="M191" s="40" t="n">
        <f aca="false">'Diagnosis &amp; Store Segmentation'!F121</f>
        <v>159.5461968664</v>
      </c>
      <c r="N191" s="40" t="n">
        <f aca="false">'Diagnosis &amp; Store Segmentation'!AG121*100*'Diagnosis &amp; Store Segmentation'!F121</f>
        <v>0.147551773395518</v>
      </c>
      <c r="O191" s="39" t="n">
        <f aca="false">'Diagnosis &amp; Store Segmentation'!BE121</f>
        <v>454.173913043478</v>
      </c>
      <c r="P191" s="40" t="n">
        <f aca="false">'Diagnosis &amp; Store Segmentation'!T121</f>
        <v>2</v>
      </c>
      <c r="Q191" s="40" t="n">
        <f aca="false">'Diagnosis &amp; Store Segmentation'!BH121</f>
        <v>138.25104</v>
      </c>
      <c r="R191" s="40" t="n">
        <f aca="false">'Diagnosis &amp; Store Segmentation'!BI121</f>
        <v>141.666666666667</v>
      </c>
      <c r="S191" s="48" t="str">
        <f aca="false">'Diagnosis &amp; Store Segmentation'!BL121</f>
        <v>Close</v>
      </c>
      <c r="T191" s="40" t="n">
        <f aca="false">INDEX('Diagnosis &amp; Store Segmentation'!$O$106:$O$165,MATCH('Diagnosis &amp; Store Segmentation'!BC121,'Diagnosis &amp; Store Segmentation'!$A$106:$A$165,0))</f>
        <v>-3.99067674786555</v>
      </c>
      <c r="U191" s="40" t="n">
        <f aca="false">IF(P191&lt;='Assumptions &amp; Data'!$C$74,MIN($C$13*L191,O191),0)</f>
        <v>369.948913043478</v>
      </c>
      <c r="V191" s="40" t="n">
        <f aca="false">-C191+U191*'Assumptions &amp; Data'!$C$63/'Assumptions &amp; Data'!$C$85*('Diagnosis &amp; Store Segmentation'!$B$12-'Assumptions &amp; Data'!$C$71)/100000</f>
        <v>12.0202167469808</v>
      </c>
      <c r="W191" s="40" t="n">
        <f aca="false">IF(V191&gt;0,Q191/V191,99)</f>
        <v>11.5015430179098</v>
      </c>
      <c r="X191" s="40" t="n">
        <f aca="false">IF(AND(B191="Close",U191&gt;0,W191&lt;=$C$12,OR(S191&lt;&gt;"Close",C191&lt;T191)),1,0)</f>
        <v>1</v>
      </c>
      <c r="Y191" s="40" t="n">
        <f aca="false">(1-X191)*($C$6*(D191-$C$7*E191)+$C$8*F191+$C$9*G191+$C$10*H191+$C$11*I191)</f>
        <v>0</v>
      </c>
      <c r="Z191" s="40" t="str">
        <f aca="false">IF(X191=1,"closed",C191+Y191*(1-$C$14))</f>
        <v>closed</v>
      </c>
      <c r="AA191" s="40" t="n">
        <f aca="false">IF(P191&lt;='Assumptions &amp; Data'!$C$74,MIN($D$13*L191,O191),0)</f>
        <v>454.173913043478</v>
      </c>
      <c r="AB191" s="40" t="n">
        <f aca="false">-C191+AA191*'Assumptions &amp; Data'!$C$63/'Assumptions &amp; Data'!$C$85*('Diagnosis &amp; Store Segmentation'!$B$12-'Assumptions &amp; Data'!$C$71)/100000</f>
        <v>13.4340195751292</v>
      </c>
      <c r="AC191" s="40" t="n">
        <f aca="false">IF(AB191&gt;0,Q191/AB191,99)</f>
        <v>10.2911149732094</v>
      </c>
      <c r="AD191" s="40" t="n">
        <f aca="false">IF(AND(B191="Close",AA191&gt;0,AC191&lt;=$D$12,OR(S191&lt;&gt;"Close",C191&lt;T191)),1,0)</f>
        <v>1</v>
      </c>
      <c r="AE191" s="40" t="n">
        <f aca="false">(1-AD191)*($D$6*(D191-$D$7*E191)+$D$8*F191+$D$9*G191+$D$10*H191+$D$11*I191)</f>
        <v>0</v>
      </c>
      <c r="AF191" s="40" t="str">
        <f aca="false">IF(AD191=1,"closed",C191+AE191*(1-$D$14))</f>
        <v>closed</v>
      </c>
      <c r="AG191" s="40" t="n">
        <f aca="false">IF(P191&lt;='Assumptions &amp; Data'!$C$74,MIN($E$13*L191,O191),0)</f>
        <v>454.173913043478</v>
      </c>
      <c r="AH191" s="40" t="n">
        <f aca="false">-C191+AG191*'Assumptions &amp; Data'!$C$63/'Assumptions &amp; Data'!$C$85*('Diagnosis &amp; Store Segmentation'!$B$12-'Assumptions &amp; Data'!$C$71)/100000</f>
        <v>13.4340195751292</v>
      </c>
      <c r="AI191" s="40" t="n">
        <f aca="false">IF(AH191&gt;0,Q191/AH191,99)</f>
        <v>10.2911149732094</v>
      </c>
      <c r="AJ191" s="40" t="n">
        <f aca="false">IF(AND(B191="Close",AG191&gt;0,AI191&lt;=$E$12,OR(S191&lt;&gt;"Close",C191&lt;T191)),1,0)</f>
        <v>1</v>
      </c>
      <c r="AK191" s="40" t="n">
        <f aca="false">(1-AJ191)*($E$6*(D191-$E$7*E191)+$E$8*F191+$E$9*G191+$E$10*H191+$E$11*I191)</f>
        <v>0</v>
      </c>
      <c r="AL191" s="40" t="str">
        <f aca="false">IF(AJ191=1,"closed",C191+AK191*(1-$E$14))</f>
        <v>closed</v>
      </c>
    </row>
    <row r="192" customFormat="false" ht="15" hidden="false" customHeight="false" outlineLevel="0" collapsed="false">
      <c r="A192" s="48" t="str">
        <f aca="false">'Diagnosis &amp; Store Segmentation'!A122</f>
        <v>DS017</v>
      </c>
      <c r="B192" s="48" t="str">
        <f aca="false">'Diagnosis &amp; Store Segmentation'!BK122</f>
        <v>Optimise</v>
      </c>
      <c r="C192" s="40" t="n">
        <f aca="false">'Diagnosis &amp; Store Segmentation'!O122</f>
        <v>3.92231830582677</v>
      </c>
      <c r="D192" s="40" t="n">
        <f aca="false">'Diagnosis &amp; Store Segmentation'!AH122</f>
        <v>3.4754714006385</v>
      </c>
      <c r="E192" s="40" t="n">
        <f aca="false">'Diagnosis &amp; Store Segmentation'!AI122</f>
        <v>33.4943743671105</v>
      </c>
      <c r="F192" s="40" t="n">
        <f aca="false">'Diagnosis &amp; Store Segmentation'!AK122</f>
        <v>0</v>
      </c>
      <c r="G192" s="40" t="n">
        <f aca="false">'Diagnosis &amp; Store Segmentation'!AM122</f>
        <v>0.48016288350836</v>
      </c>
      <c r="H192" s="40" t="n">
        <f aca="false">'Diagnosis &amp; Store Segmentation'!AO122</f>
        <v>1.9127272112129</v>
      </c>
      <c r="I192" s="40" t="n">
        <f aca="false">'Diagnosis &amp; Store Segmentation'!AV122</f>
        <v>0</v>
      </c>
      <c r="J192" s="40" t="n">
        <f aca="false">'Diagnosis &amp; Store Segmentation'!AL122</f>
        <v>2.06886502438002</v>
      </c>
      <c r="K192" s="39" t="n">
        <f aca="false">'Diagnosis &amp; Store Segmentation'!AR122*'Diagnosis &amp; Store Segmentation'!AU122</f>
        <v>0</v>
      </c>
      <c r="L192" s="39" t="n">
        <f aca="false">'Diagnosis &amp; Store Segmentation'!E122</f>
        <v>1129.78260869565</v>
      </c>
      <c r="M192" s="40" t="n">
        <f aca="false">'Diagnosis &amp; Store Segmentation'!F122</f>
        <v>230.838792961067</v>
      </c>
      <c r="N192" s="40" t="n">
        <f aca="false">'Diagnosis &amp; Store Segmentation'!AG122*100*'Diagnosis &amp; Store Segmentation'!F122</f>
        <v>323.627304131974</v>
      </c>
      <c r="O192" s="39" t="n">
        <f aca="false">'Diagnosis &amp; Store Segmentation'!BE122</f>
        <v>935.228260869565</v>
      </c>
      <c r="P192" s="40" t="n">
        <f aca="false">'Diagnosis &amp; Store Segmentation'!T122</f>
        <v>2.4</v>
      </c>
      <c r="Q192" s="40" t="n">
        <f aca="false">'Diagnosis &amp; Store Segmentation'!BH122</f>
        <v>112.995069</v>
      </c>
      <c r="R192" s="40" t="n">
        <f aca="false">'Diagnosis &amp; Store Segmentation'!BI122</f>
        <v>122.035714285714</v>
      </c>
      <c r="S192" s="48" t="str">
        <f aca="false">'Diagnosis &amp; Store Segmentation'!BL122</f>
        <v>Optimise</v>
      </c>
      <c r="T192" s="40" t="n">
        <f aca="false">INDEX('Diagnosis &amp; Store Segmentation'!$O$106:$O$165,MATCH('Diagnosis &amp; Store Segmentation'!BC122,'Diagnosis &amp; Store Segmentation'!$A$106:$A$165,0))</f>
        <v>-5.03418802737145</v>
      </c>
      <c r="U192" s="40" t="n">
        <f aca="false">IF(P192&lt;='Assumptions &amp; Data'!$C$74,MIN($C$13*L192,O192),0)</f>
        <v>0</v>
      </c>
      <c r="V192" s="40" t="n">
        <f aca="false">-C192+U192*'Assumptions &amp; Data'!$C$63/'Assumptions &amp; Data'!$C$85*('Diagnosis &amp; Store Segmentation'!$B$12-'Assumptions &amp; Data'!$C$71)/100000</f>
        <v>-3.92231830582677</v>
      </c>
      <c r="W192" s="40" t="n">
        <f aca="false">IF(V192&gt;0,Q192/V192,99)</f>
        <v>99</v>
      </c>
      <c r="X192" s="40" t="n">
        <f aca="false">IF(AND(B192="Close",U192&gt;0,W192&lt;=$C$12,OR(S192&lt;&gt;"Close",C192&lt;T192)),1,0)</f>
        <v>0</v>
      </c>
      <c r="Y192" s="40" t="n">
        <f aca="false">(1-X192)*($C$6*(D192-$C$7*E192)+$C$8*F192+$C$9*G192+$C$10*H192+$C$11*I192)</f>
        <v>2.25241120933314</v>
      </c>
      <c r="Z192" s="40" t="n">
        <f aca="false">IF(X192=1,"closed",C192+Y192*(1-$C$14))</f>
        <v>5.90444017003993</v>
      </c>
      <c r="AA192" s="40" t="n">
        <f aca="false">IF(P192&lt;='Assumptions &amp; Data'!$C$74,MIN($D$13*L192,O192),0)</f>
        <v>0</v>
      </c>
      <c r="AB192" s="40" t="n">
        <f aca="false">-C192+AA192*'Assumptions &amp; Data'!$C$63/'Assumptions &amp; Data'!$C$85*('Diagnosis &amp; Store Segmentation'!$B$12-'Assumptions &amp; Data'!$C$71)/100000</f>
        <v>-3.92231830582677</v>
      </c>
      <c r="AC192" s="40" t="n">
        <f aca="false">IF(AB192&gt;0,Q192/AB192,99)</f>
        <v>99</v>
      </c>
      <c r="AD192" s="40" t="n">
        <f aca="false">IF(AND(B192="Close",AA192&gt;0,AC192&lt;=$D$12,OR(S192&lt;&gt;"Close",C192&lt;T192)),1,0)</f>
        <v>0</v>
      </c>
      <c r="AE192" s="40" t="n">
        <f aca="false">(1-AD192)*($D$6*(D192-$D$7*E192)+$D$8*F192+$D$9*G192+$D$10*H192+$D$11*I192)</f>
        <v>3.44283069558864</v>
      </c>
      <c r="AF192" s="40" t="n">
        <f aca="false">IF(AD192=1,"closed",C192+AE192*(1-$D$14))</f>
        <v>7.08972254576833</v>
      </c>
      <c r="AG192" s="40" t="n">
        <f aca="false">IF(P192&lt;='Assumptions &amp; Data'!$C$74,MIN($E$13*L192,O192),0)</f>
        <v>0</v>
      </c>
      <c r="AH192" s="40" t="n">
        <f aca="false">-C192+AG192*'Assumptions &amp; Data'!$C$63/'Assumptions &amp; Data'!$C$85*('Diagnosis &amp; Store Segmentation'!$B$12-'Assumptions &amp; Data'!$C$71)/100000</f>
        <v>-3.92231830582677</v>
      </c>
      <c r="AI192" s="40" t="n">
        <f aca="false">IF(AH192&gt;0,Q192/AH192,99)</f>
        <v>99</v>
      </c>
      <c r="AJ192" s="40" t="n">
        <f aca="false">IF(AND(B192="Close",AG192&gt;0,AI192&lt;=$E$12,OR(S192&lt;&gt;"Close",C192&lt;T192)),1,0)</f>
        <v>0</v>
      </c>
      <c r="AK192" s="40" t="n">
        <f aca="false">(1-AJ192)*($E$6*(D192-$E$7*E192)+$E$8*F192+$E$9*G192+$E$10*H192+$E$11*I192)</f>
        <v>4.35825401297807</v>
      </c>
      <c r="AL192" s="40" t="n">
        <f aca="false">IF(AJ192=1,"closed",C192+AK192*(1-$E$14))</f>
        <v>8.06265961815594</v>
      </c>
    </row>
    <row r="193" customFormat="false" ht="15" hidden="false" customHeight="false" outlineLevel="0" collapsed="false">
      <c r="A193" s="48" t="str">
        <f aca="false">'Diagnosis &amp; Store Segmentation'!A123</f>
        <v>DS018</v>
      </c>
      <c r="B193" s="48" t="str">
        <f aca="false">'Diagnosis &amp; Store Segmentation'!BK123</f>
        <v>Optimise</v>
      </c>
      <c r="C193" s="40" t="n">
        <f aca="false">'Diagnosis &amp; Store Segmentation'!O123</f>
        <v>4.35803449102249</v>
      </c>
      <c r="D193" s="40" t="n">
        <f aca="false">'Diagnosis &amp; Store Segmentation'!AH123</f>
        <v>0</v>
      </c>
      <c r="E193" s="40" t="n">
        <f aca="false">'Diagnosis &amp; Store Segmentation'!AI123</f>
        <v>0</v>
      </c>
      <c r="F193" s="40" t="n">
        <f aca="false">'Diagnosis &amp; Store Segmentation'!AK123</f>
        <v>0.16868952234389</v>
      </c>
      <c r="G193" s="40" t="n">
        <f aca="false">'Diagnosis &amp; Store Segmentation'!AM123</f>
        <v>0</v>
      </c>
      <c r="H193" s="40" t="n">
        <f aca="false">'Diagnosis &amp; Store Segmentation'!AO123</f>
        <v>0.0963742120081046</v>
      </c>
      <c r="I193" s="40" t="n">
        <f aca="false">'Diagnosis &amp; Store Segmentation'!AV123</f>
        <v>0.21</v>
      </c>
      <c r="J193" s="40" t="n">
        <f aca="false">'Diagnosis &amp; Store Segmentation'!AL123</f>
        <v>0</v>
      </c>
      <c r="K193" s="39" t="n">
        <f aca="false">'Diagnosis &amp; Store Segmentation'!AR123*'Diagnosis &amp; Store Segmentation'!AU123</f>
        <v>0</v>
      </c>
      <c r="L193" s="39" t="n">
        <f aca="false">'Diagnosis &amp; Store Segmentation'!E123</f>
        <v>867.391304347826</v>
      </c>
      <c r="M193" s="40" t="n">
        <f aca="false">'Diagnosis &amp; Store Segmentation'!F123</f>
        <v>177.492814659167</v>
      </c>
      <c r="N193" s="40" t="n">
        <f aca="false">'Diagnosis &amp; Store Segmentation'!AG123*100*'Diagnosis &amp; Store Segmentation'!F123</f>
        <v>0</v>
      </c>
      <c r="O193" s="39" t="n">
        <f aca="false">'Diagnosis &amp; Store Segmentation'!BE123</f>
        <v>970.836956521739</v>
      </c>
      <c r="P193" s="40" t="n">
        <f aca="false">'Diagnosis &amp; Store Segmentation'!T123</f>
        <v>1.6</v>
      </c>
      <c r="Q193" s="40" t="n">
        <f aca="false">'Diagnosis &amp; Store Segmentation'!BH123</f>
        <v>47.586564</v>
      </c>
      <c r="R193" s="40" t="n">
        <f aca="false">'Diagnosis &amp; Store Segmentation'!BI123</f>
        <v>43.7142857142857</v>
      </c>
      <c r="S193" s="48" t="str">
        <f aca="false">'Diagnosis &amp; Store Segmentation'!BL123</f>
        <v>Optimise</v>
      </c>
      <c r="T193" s="40" t="n">
        <f aca="false">INDEX('Diagnosis &amp; Store Segmentation'!$O$106:$O$165,MATCH('Diagnosis &amp; Store Segmentation'!BC123,'Diagnosis &amp; Store Segmentation'!$A$106:$A$165,0))</f>
        <v>-7.39285155942855</v>
      </c>
      <c r="U193" s="40" t="n">
        <f aca="false">IF(P193&lt;='Assumptions &amp; Data'!$C$74,MIN($C$13*L193,O193),0)</f>
        <v>390.326086956522</v>
      </c>
      <c r="V193" s="40" t="n">
        <f aca="false">-C193+U193*'Assumptions &amp; Data'!$C$63/'Assumptions &amp; Data'!$C$85*('Diagnosis &amp; Store Segmentation'!$B$12-'Assumptions &amp; Data'!$C$71)/100000</f>
        <v>2.1939883720138</v>
      </c>
      <c r="W193" s="40" t="n">
        <f aca="false">IF(V193&gt;0,Q193/V193,99)</f>
        <v>21.6895242504506</v>
      </c>
      <c r="X193" s="40" t="n">
        <f aca="false">IF(AND(B193="Close",U193&gt;0,W193&lt;=$C$12,OR(S193&lt;&gt;"Close",C193&lt;T193)),1,0)</f>
        <v>0</v>
      </c>
      <c r="Y193" s="40" t="n">
        <f aca="false">(1-X193)*($C$6*(D193-$C$7*E193)+$C$8*F193+$C$9*G193+$C$10*H193+$C$11*I193)</f>
        <v>0.159388072539988</v>
      </c>
      <c r="Z193" s="40" t="n">
        <f aca="false">IF(X193=1,"closed",C193+Y193*(1-$C$14))</f>
        <v>4.49829599485768</v>
      </c>
      <c r="AA193" s="40" t="n">
        <f aca="false">IF(P193&lt;='Assumptions &amp; Data'!$C$74,MIN($D$13*L193,O193),0)</f>
        <v>520.434782608696</v>
      </c>
      <c r="AB193" s="40" t="n">
        <f aca="false">-C193+AA193*'Assumptions &amp; Data'!$C$63/'Assumptions &amp; Data'!$C$85*('Diagnosis &amp; Store Segmentation'!$B$12-'Assumptions &amp; Data'!$C$71)/100000</f>
        <v>4.3779959930259</v>
      </c>
      <c r="AC193" s="40" t="n">
        <f aca="false">IF(AB193&gt;0,Q193/AB193,99)</f>
        <v>10.8694855079367</v>
      </c>
      <c r="AD193" s="40" t="n">
        <f aca="false">IF(AND(B193="Close",AA193&gt;0,AC193&lt;=$D$12,OR(S193&lt;&gt;"Close",C193&lt;T193)),1,0)</f>
        <v>0</v>
      </c>
      <c r="AE193" s="40" t="n">
        <f aca="false">(1-AD193)*($D$6*(D193-$D$7*E193)+$D$8*F193+$D$9*G193+$D$10*H193+$D$11*I193)</f>
        <v>0.254400819410387</v>
      </c>
      <c r="AF193" s="40" t="n">
        <f aca="false">IF(AD193=1,"closed",C193+AE193*(1-$D$14))</f>
        <v>4.59208324488005</v>
      </c>
      <c r="AG193" s="40" t="n">
        <f aca="false">IF(P193&lt;='Assumptions &amp; Data'!$C$74,MIN($E$13*L193,O193),0)</f>
        <v>607.173913043478</v>
      </c>
      <c r="AH193" s="40" t="n">
        <f aca="false">-C193+AG193*'Assumptions &amp; Data'!$C$63/'Assumptions &amp; Data'!$C$85*('Diagnosis &amp; Store Segmentation'!$B$12-'Assumptions &amp; Data'!$C$71)/100000</f>
        <v>5.83400107370063</v>
      </c>
      <c r="AI193" s="40" t="n">
        <f aca="false">IF(AH193&gt;0,Q193/AH193,99)</f>
        <v>8.15676298287255</v>
      </c>
      <c r="AJ193" s="40" t="n">
        <f aca="false">IF(AND(B193="Close",AG193&gt;0,AI193&lt;=$E$12,OR(S193&lt;&gt;"Close",C193&lt;T193)),1,0)</f>
        <v>0</v>
      </c>
      <c r="AK193" s="40" t="n">
        <f aca="false">(1-AJ193)*($E$6*(D193-$E$7*E193)+$E$8*F193+$E$9*G193+$E$10*H193+$E$11*I193)</f>
        <v>0.336160379563186</v>
      </c>
      <c r="AL193" s="40" t="n">
        <f aca="false">IF(AJ193=1,"closed",C193+AK193*(1-$E$14))</f>
        <v>4.67738685160752</v>
      </c>
    </row>
    <row r="194" customFormat="false" ht="15" hidden="false" customHeight="false" outlineLevel="0" collapsed="false">
      <c r="A194" s="48" t="str">
        <f aca="false">'Diagnosis &amp; Store Segmentation'!A124</f>
        <v>DS019</v>
      </c>
      <c r="B194" s="48" t="str">
        <f aca="false">'Diagnosis &amp; Store Segmentation'!BK124</f>
        <v>Optimise</v>
      </c>
      <c r="C194" s="40" t="n">
        <f aca="false">'Diagnosis &amp; Store Segmentation'!O124</f>
        <v>-5.03418802737145</v>
      </c>
      <c r="D194" s="40" t="n">
        <f aca="false">'Diagnosis &amp; Store Segmentation'!AH124</f>
        <v>1.80856621957597</v>
      </c>
      <c r="E194" s="40" t="n">
        <f aca="false">'Diagnosis &amp; Store Segmentation'!AI124</f>
        <v>16.5707574628081</v>
      </c>
      <c r="F194" s="40" t="n">
        <f aca="false">'Diagnosis &amp; Store Segmentation'!AK124</f>
        <v>0</v>
      </c>
      <c r="G194" s="40" t="n">
        <f aca="false">'Diagnosis &amp; Store Segmentation'!AM124</f>
        <v>0.111918269039367</v>
      </c>
      <c r="H194" s="40" t="n">
        <f aca="false">'Diagnosis &amp; Store Segmentation'!AO124</f>
        <v>1.75627954221972</v>
      </c>
      <c r="I194" s="40" t="n">
        <f aca="false">'Diagnosis &amp; Store Segmentation'!AV124</f>
        <v>7.0529985254273</v>
      </c>
      <c r="J194" s="40" t="n">
        <f aca="false">'Diagnosis &amp; Store Segmentation'!AL124</f>
        <v>0.482219264248212</v>
      </c>
      <c r="K194" s="39" t="n">
        <f aca="false">'Diagnosis &amp; Store Segmentation'!AR124*'Diagnosis &amp; Store Segmentation'!AU124</f>
        <v>2246.3909924883</v>
      </c>
      <c r="L194" s="39" t="n">
        <f aca="false">'Diagnosis &amp; Store Segmentation'!E124</f>
        <v>846.771739130435</v>
      </c>
      <c r="M194" s="40" t="n">
        <f aca="false">'Diagnosis &amp; Store Segmentation'!F124</f>
        <v>173.978797035067</v>
      </c>
      <c r="N194" s="40" t="n">
        <f aca="false">'Diagnosis &amp; Store Segmentation'!AG124*100*'Diagnosis &amp; Store Segmentation'!F124</f>
        <v>169.186013034959</v>
      </c>
      <c r="O194" s="39" t="n">
        <f aca="false">'Diagnosis &amp; Store Segmentation'!BE124</f>
        <v>328.217391304348</v>
      </c>
      <c r="P194" s="40" t="n">
        <f aca="false">'Diagnosis &amp; Store Segmentation'!T124</f>
        <v>2.4</v>
      </c>
      <c r="Q194" s="40" t="n">
        <f aca="false">'Diagnosis &amp; Store Segmentation'!BH124</f>
        <v>91.524825</v>
      </c>
      <c r="R194" s="40" t="n">
        <f aca="false">'Diagnosis &amp; Store Segmentation'!BI124</f>
        <v>124.666666666667</v>
      </c>
      <c r="S194" s="48" t="str">
        <f aca="false">'Diagnosis &amp; Store Segmentation'!BL124</f>
        <v>Optimise</v>
      </c>
      <c r="T194" s="40" t="n">
        <f aca="false">INDEX('Diagnosis &amp; Store Segmentation'!$O$106:$O$165,MATCH('Diagnosis &amp; Store Segmentation'!BC124,'Diagnosis &amp; Store Segmentation'!$A$106:$A$165,0))</f>
        <v>3.92231830582677</v>
      </c>
      <c r="U194" s="40" t="n">
        <f aca="false">IF(P194&lt;='Assumptions &amp; Data'!$C$74,MIN($C$13*L194,O194),0)</f>
        <v>0</v>
      </c>
      <c r="V194" s="40" t="n">
        <f aca="false">-C194+U194*'Assumptions &amp; Data'!$C$63/'Assumptions &amp; Data'!$C$85*('Diagnosis &amp; Store Segmentation'!$B$12-'Assumptions &amp; Data'!$C$71)/100000</f>
        <v>5.03418802737145</v>
      </c>
      <c r="W194" s="40" t="n">
        <f aca="false">IF(V194&gt;0,Q194/V194,99)</f>
        <v>18.1806528684207</v>
      </c>
      <c r="X194" s="40" t="n">
        <f aca="false">IF(AND(B194="Close",U194&gt;0,W194&lt;=$C$12,OR(S194&lt;&gt;"Close",C194&lt;T194)),1,0)</f>
        <v>0</v>
      </c>
      <c r="Y194" s="40" t="n">
        <f aca="false">(1-X194)*($C$6*(D194-$C$7*E194)+$C$8*F194+$C$9*G194+$C$10*H194+$C$11*I194)</f>
        <v>3.46755315672678</v>
      </c>
      <c r="Z194" s="40" t="n">
        <f aca="false">IF(X194=1,"closed",C194+Y194*(1-$C$14))</f>
        <v>-1.98274124945188</v>
      </c>
      <c r="AA194" s="40" t="n">
        <f aca="false">IF(P194&lt;='Assumptions &amp; Data'!$C$74,MIN($D$13*L194,O194),0)</f>
        <v>0</v>
      </c>
      <c r="AB194" s="40" t="n">
        <f aca="false">-C194+AA194*'Assumptions &amp; Data'!$C$63/'Assumptions &amp; Data'!$C$85*('Diagnosis &amp; Store Segmentation'!$B$12-'Assumptions &amp; Data'!$C$71)/100000</f>
        <v>5.03418802737145</v>
      </c>
      <c r="AC194" s="40" t="n">
        <f aca="false">IF(AB194&gt;0,Q194/AB194,99)</f>
        <v>18.1806528684207</v>
      </c>
      <c r="AD194" s="40" t="n">
        <f aca="false">IF(AND(B194="Close",AA194&gt;0,AC194&lt;=$D$12,OR(S194&lt;&gt;"Close",C194&lt;T194)),1,0)</f>
        <v>0</v>
      </c>
      <c r="AE194" s="40" t="n">
        <f aca="false">(1-AD194)*($D$6*(D194-$D$7*E194)+$D$8*F194+$D$9*G194+$D$10*H194+$D$11*I194)</f>
        <v>5.62179104671065</v>
      </c>
      <c r="AF194" s="40" t="n">
        <f aca="false">IF(AD194=1,"closed",C194+AE194*(1-$D$14))</f>
        <v>0.137859735602354</v>
      </c>
      <c r="AG194" s="40" t="n">
        <f aca="false">IF(P194&lt;='Assumptions &amp; Data'!$C$74,MIN($E$13*L194,O194),0)</f>
        <v>0</v>
      </c>
      <c r="AH194" s="40" t="n">
        <f aca="false">-C194+AG194*'Assumptions &amp; Data'!$C$63/'Assumptions &amp; Data'!$C$85*('Diagnosis &amp; Store Segmentation'!$B$12-'Assumptions &amp; Data'!$C$71)/100000</f>
        <v>5.03418802737145</v>
      </c>
      <c r="AI194" s="40" t="n">
        <f aca="false">IF(AH194&gt;0,Q194/AH194,99)</f>
        <v>18.1806528684207</v>
      </c>
      <c r="AJ194" s="40" t="n">
        <f aca="false">IF(AND(B194="Close",AG194&gt;0,AI194&lt;=$E$12,OR(S194&lt;&gt;"Close",C194&lt;T194)),1,0)</f>
        <v>0</v>
      </c>
      <c r="AK194" s="40" t="n">
        <f aca="false">(1-AJ194)*($E$6*(D194-$E$7*E194)+$E$8*F194+$E$9*G194+$E$10*H194+$E$11*I194)</f>
        <v>7.60130465175732</v>
      </c>
      <c r="AL194" s="40" t="n">
        <f aca="false">IF(AJ194=1,"closed",C194+AK194*(1-$E$14))</f>
        <v>2.18705139179801</v>
      </c>
    </row>
    <row r="195" customFormat="false" ht="15" hidden="false" customHeight="false" outlineLevel="0" collapsed="false">
      <c r="A195" s="48" t="str">
        <f aca="false">'Diagnosis &amp; Store Segmentation'!A125</f>
        <v>DS020</v>
      </c>
      <c r="B195" s="48" t="str">
        <f aca="false">'Diagnosis &amp; Store Segmentation'!BK125</f>
        <v>Optimise</v>
      </c>
      <c r="C195" s="40" t="n">
        <f aca="false">'Diagnosis &amp; Store Segmentation'!O125</f>
        <v>-7.39285155942855</v>
      </c>
      <c r="D195" s="40" t="n">
        <f aca="false">'Diagnosis &amp; Store Segmentation'!AH125</f>
        <v>4.22316946446996</v>
      </c>
      <c r="E195" s="40" t="n">
        <f aca="false">'Diagnosis &amp; Store Segmentation'!AI125</f>
        <v>30.3193729316348</v>
      </c>
      <c r="F195" s="40" t="n">
        <f aca="false">'Diagnosis &amp; Store Segmentation'!AK125</f>
        <v>1.92285941251553</v>
      </c>
      <c r="G195" s="40" t="n">
        <f aca="false">'Diagnosis &amp; Store Segmentation'!AM125</f>
        <v>0.61704527863931</v>
      </c>
      <c r="H195" s="40" t="n">
        <f aca="false">'Diagnosis &amp; Store Segmentation'!AO125</f>
        <v>1.15301529863191</v>
      </c>
      <c r="I195" s="40" t="n">
        <f aca="false">'Diagnosis &amp; Store Segmentation'!AV125</f>
        <v>4.78584194006345</v>
      </c>
      <c r="J195" s="40" t="n">
        <f aca="false">'Diagnosis &amp; Store Segmentation'!AL125</f>
        <v>2.65864655366155</v>
      </c>
      <c r="K195" s="39" t="n">
        <f aca="false">'Diagnosis &amp; Store Segmentation'!AR125*'Diagnosis &amp; Store Segmentation'!AU125</f>
        <v>2505.67640841018</v>
      </c>
      <c r="L195" s="39" t="n">
        <f aca="false">'Diagnosis &amp; Store Segmentation'!E125</f>
        <v>649.163043478261</v>
      </c>
      <c r="M195" s="40" t="n">
        <f aca="false">'Diagnosis &amp; Store Segmentation'!F125</f>
        <v>127.849638246433</v>
      </c>
      <c r="N195" s="40" t="n">
        <f aca="false">'Diagnosis &amp; Store Segmentation'!AG125*100*'Diagnosis &amp; Store Segmentation'!F125</f>
        <v>386.407877416089</v>
      </c>
      <c r="O195" s="39" t="n">
        <f aca="false">'Diagnosis &amp; Store Segmentation'!BE125</f>
        <v>104.608695652174</v>
      </c>
      <c r="P195" s="40" t="n">
        <f aca="false">'Diagnosis &amp; Store Segmentation'!T125</f>
        <v>1.6</v>
      </c>
      <c r="Q195" s="40" t="n">
        <f aca="false">'Diagnosis &amp; Store Segmentation'!BH125</f>
        <v>10.107993</v>
      </c>
      <c r="R195" s="40" t="n">
        <f aca="false">'Diagnosis &amp; Store Segmentation'!BI125</f>
        <v>131.547619047619</v>
      </c>
      <c r="S195" s="48" t="str">
        <f aca="false">'Diagnosis &amp; Store Segmentation'!BL125</f>
        <v>Optimise</v>
      </c>
      <c r="T195" s="40" t="n">
        <f aca="false">INDEX('Diagnosis &amp; Store Segmentation'!$O$106:$O$165,MATCH('Diagnosis &amp; Store Segmentation'!BC125,'Diagnosis &amp; Store Segmentation'!$A$106:$A$165,0))</f>
        <v>4.35803449102249</v>
      </c>
      <c r="U195" s="40" t="n">
        <f aca="false">IF(P195&lt;='Assumptions &amp; Data'!$C$74,MIN($C$13*L195,O195),0)</f>
        <v>104.608695652174</v>
      </c>
      <c r="V195" s="40" t="n">
        <f aca="false">-C195+U195*'Assumptions &amp; Data'!$C$63/'Assumptions &amp; Data'!$C$85*('Diagnosis &amp; Store Segmentation'!$B$12-'Assumptions &amp; Data'!$C$71)/100000</f>
        <v>9.14881558153551</v>
      </c>
      <c r="W195" s="40" t="n">
        <f aca="false">IF(V195&gt;0,Q195/V195,99)</f>
        <v>1.10484170436229</v>
      </c>
      <c r="X195" s="40" t="n">
        <f aca="false">IF(AND(B195="Close",U195&gt;0,W195&lt;=$C$12,OR(S195&lt;&gt;"Close",C195&lt;T195)),1,0)</f>
        <v>0</v>
      </c>
      <c r="Y195" s="40" t="n">
        <f aca="false">(1-X195)*($C$6*(D195-$C$7*E195)+$C$8*F195+$C$9*G195+$C$10*H195+$C$11*I195)</f>
        <v>4.68180848331826</v>
      </c>
      <c r="Z195" s="40" t="n">
        <f aca="false">IF(X195=1,"closed",C195+Y195*(1-$C$14))</f>
        <v>-3.27286009410847</v>
      </c>
      <c r="AA195" s="40" t="n">
        <f aca="false">IF(P195&lt;='Assumptions &amp; Data'!$C$74,MIN($D$13*L195,O195),0)</f>
        <v>104.608695652174</v>
      </c>
      <c r="AB195" s="40" t="n">
        <f aca="false">-C195+AA195*'Assumptions &amp; Data'!$C$63/'Assumptions &amp; Data'!$C$85*('Diagnosis &amp; Store Segmentation'!$B$12-'Assumptions &amp; Data'!$C$71)/100000</f>
        <v>9.14881558153551</v>
      </c>
      <c r="AC195" s="40" t="n">
        <f aca="false">IF(AB195&gt;0,Q195/AB195,99)</f>
        <v>1.10484170436229</v>
      </c>
      <c r="AD195" s="40" t="n">
        <f aca="false">IF(AND(B195="Close",AA195&gt;0,AC195&lt;=$D$12,OR(S195&lt;&gt;"Close",C195&lt;T195)),1,0)</f>
        <v>0</v>
      </c>
      <c r="AE195" s="40" t="n">
        <f aca="false">(1-AD195)*($D$6*(D195-$D$7*E195)+$D$8*F195+$D$9*G195+$D$10*H195+$D$11*I195)</f>
        <v>7.23735444864811</v>
      </c>
      <c r="AF195" s="40" t="n">
        <f aca="false">IF(AD195=1,"closed",C195+AE195*(1-$D$14))</f>
        <v>-0.73448546667228</v>
      </c>
      <c r="AG195" s="40" t="n">
        <f aca="false">IF(P195&lt;='Assumptions &amp; Data'!$C$74,MIN($E$13*L195,O195),0)</f>
        <v>104.608695652174</v>
      </c>
      <c r="AH195" s="40" t="n">
        <f aca="false">-C195+AG195*'Assumptions &amp; Data'!$C$63/'Assumptions &amp; Data'!$C$85*('Diagnosis &amp; Store Segmentation'!$B$12-'Assumptions &amp; Data'!$C$71)/100000</f>
        <v>9.14881558153551</v>
      </c>
      <c r="AI195" s="40" t="n">
        <f aca="false">IF(AH195&gt;0,Q195/AH195,99)</f>
        <v>1.10484170436229</v>
      </c>
      <c r="AJ195" s="40" t="n">
        <f aca="false">IF(AND(B195="Close",AG195&gt;0,AI195&lt;=$E$12,OR(S195&lt;&gt;"Close",C195&lt;T195)),1,0)</f>
        <v>0</v>
      </c>
      <c r="AK195" s="40" t="n">
        <f aca="false">(1-AJ195)*($E$6*(D195-$E$7*E195)+$E$8*F195+$E$9*G195+$E$10*H195+$E$11*I195)</f>
        <v>9.41377159637753</v>
      </c>
      <c r="AL195" s="40" t="n">
        <f aca="false">IF(AJ195=1,"closed",C195+AK195*(1-$E$14))</f>
        <v>1.5502314571301</v>
      </c>
    </row>
    <row r="196" customFormat="false" ht="15" hidden="false" customHeight="false" outlineLevel="0" collapsed="false">
      <c r="A196" s="48" t="str">
        <f aca="false">'Diagnosis &amp; Store Segmentation'!A126</f>
        <v>DS021</v>
      </c>
      <c r="B196" s="48" t="str">
        <f aca="false">'Diagnosis &amp; Store Segmentation'!BK126</f>
        <v>Optimise</v>
      </c>
      <c r="C196" s="40" t="n">
        <f aca="false">'Diagnosis &amp; Store Segmentation'!O126</f>
        <v>12.1222307750272</v>
      </c>
      <c r="D196" s="40" t="n">
        <f aca="false">'Diagnosis &amp; Store Segmentation'!AH126</f>
        <v>0</v>
      </c>
      <c r="E196" s="40" t="n">
        <f aca="false">'Diagnosis &amp; Store Segmentation'!AI126</f>
        <v>0</v>
      </c>
      <c r="F196" s="40" t="n">
        <f aca="false">'Diagnosis &amp; Store Segmentation'!AK126</f>
        <v>1.54849793035441</v>
      </c>
      <c r="G196" s="40" t="n">
        <f aca="false">'Diagnosis &amp; Store Segmentation'!AM126</f>
        <v>0</v>
      </c>
      <c r="H196" s="40" t="n">
        <f aca="false">'Diagnosis &amp; Store Segmentation'!AO126</f>
        <v>3.11246434095679</v>
      </c>
      <c r="I196" s="40" t="n">
        <f aca="false">'Diagnosis &amp; Store Segmentation'!AV126</f>
        <v>0</v>
      </c>
      <c r="J196" s="40" t="n">
        <f aca="false">'Diagnosis &amp; Store Segmentation'!AL126</f>
        <v>0</v>
      </c>
      <c r="K196" s="39" t="n">
        <f aca="false">'Diagnosis &amp; Store Segmentation'!AR126*'Diagnosis &amp; Store Segmentation'!AU126</f>
        <v>0</v>
      </c>
      <c r="L196" s="39" t="n">
        <f aca="false">'Diagnosis &amp; Store Segmentation'!E126</f>
        <v>1559.65217391304</v>
      </c>
      <c r="M196" s="40" t="n">
        <f aca="false">'Diagnosis &amp; Store Segmentation'!F126</f>
        <v>327.8725511459</v>
      </c>
      <c r="N196" s="40" t="n">
        <f aca="false">'Diagnosis &amp; Store Segmentation'!AG126*100*'Diagnosis &amp; Store Segmentation'!F126</f>
        <v>0</v>
      </c>
      <c r="O196" s="39" t="n">
        <f aca="false">'Diagnosis &amp; Store Segmentation'!BE126</f>
        <v>508.934782608696</v>
      </c>
      <c r="P196" s="40" t="n">
        <f aca="false">'Diagnosis &amp; Store Segmentation'!T126</f>
        <v>3.4</v>
      </c>
      <c r="Q196" s="40" t="n">
        <f aca="false">'Diagnosis &amp; Store Segmentation'!BH126</f>
        <v>51.135351</v>
      </c>
      <c r="R196" s="40" t="n">
        <f aca="false">'Diagnosis &amp; Store Segmentation'!BI126</f>
        <v>114.75</v>
      </c>
      <c r="S196" s="48" t="str">
        <f aca="false">'Diagnosis &amp; Store Segmentation'!BL126</f>
        <v>Optimise</v>
      </c>
      <c r="T196" s="40" t="n">
        <f aca="false">INDEX('Diagnosis &amp; Store Segmentation'!$O$106:$O$165,MATCH('Diagnosis &amp; Store Segmentation'!BC126,'Diagnosis &amp; Store Segmentation'!$A$106:$A$165,0))</f>
        <v>6.16193692471367</v>
      </c>
      <c r="U196" s="40" t="n">
        <f aca="false">IF(P196&lt;='Assumptions &amp; Data'!$C$74,MIN($C$13*L196,O196),0)</f>
        <v>0</v>
      </c>
      <c r="V196" s="40" t="n">
        <f aca="false">-C196+U196*'Assumptions &amp; Data'!$C$63/'Assumptions &amp; Data'!$C$85*('Diagnosis &amp; Store Segmentation'!$B$12-'Assumptions &amp; Data'!$C$71)/100000</f>
        <v>-12.1222307750272</v>
      </c>
      <c r="W196" s="40" t="n">
        <f aca="false">IF(V196&gt;0,Q196/V196,99)</f>
        <v>99</v>
      </c>
      <c r="X196" s="40" t="n">
        <f aca="false">IF(AND(B196="Close",U196&gt;0,W196&lt;=$C$12,OR(S196&lt;&gt;"Close",C196&lt;T196)),1,0)</f>
        <v>0</v>
      </c>
      <c r="Y196" s="40" t="n">
        <f aca="false">(1-X196)*($C$6*(D196-$C$7*E196)+$C$8*F196+$C$9*G196+$C$10*H196+$C$11*I196)</f>
        <v>1.5531384744288</v>
      </c>
      <c r="Z196" s="40" t="n">
        <f aca="false">IF(X196=1,"closed",C196+Y196*(1-$C$14))</f>
        <v>13.4889926325246</v>
      </c>
      <c r="AA196" s="40" t="n">
        <f aca="false">IF(P196&lt;='Assumptions &amp; Data'!$C$74,MIN($D$13*L196,O196),0)</f>
        <v>0</v>
      </c>
      <c r="AB196" s="40" t="n">
        <f aca="false">-C196+AA196*'Assumptions &amp; Data'!$C$63/'Assumptions &amp; Data'!$C$85*('Diagnosis &amp; Store Segmentation'!$B$12-'Assumptions &amp; Data'!$C$71)/100000</f>
        <v>-12.1222307750272</v>
      </c>
      <c r="AC196" s="40" t="n">
        <f aca="false">IF(AB196&gt;0,Q196/AB196,99)</f>
        <v>99</v>
      </c>
      <c r="AD196" s="40" t="n">
        <f aca="false">IF(AND(B196="Close",AA196&gt;0,AC196&lt;=$D$12,OR(S196&lt;&gt;"Close",C196&lt;T196)),1,0)</f>
        <v>0</v>
      </c>
      <c r="AE196" s="40" t="n">
        <f aca="false">(1-AD196)*($D$6*(D196-$D$7*E196)+$D$8*F196+$D$9*G196+$D$10*H196+$D$11*I196)</f>
        <v>2.48533092869105</v>
      </c>
      <c r="AF196" s="40" t="n">
        <f aca="false">IF(AD196=1,"closed",C196+AE196*(1-$D$14))</f>
        <v>14.408735229423</v>
      </c>
      <c r="AG196" s="40" t="n">
        <f aca="false">IF(P196&lt;='Assumptions &amp; Data'!$C$74,MIN($E$13*L196,O196),0)</f>
        <v>0</v>
      </c>
      <c r="AH196" s="40" t="n">
        <f aca="false">-C196+AG196*'Assumptions &amp; Data'!$C$63/'Assumptions &amp; Data'!$C$85*('Diagnosis &amp; Store Segmentation'!$B$12-'Assumptions &amp; Data'!$C$71)/100000</f>
        <v>-12.1222307750272</v>
      </c>
      <c r="AI196" s="40" t="n">
        <f aca="false">IF(AH196&gt;0,Q196/AH196,99)</f>
        <v>99</v>
      </c>
      <c r="AJ196" s="40" t="n">
        <f aca="false">IF(AND(B196="Close",AG196&gt;0,AI196&lt;=$E$12,OR(S196&lt;&gt;"Close",C196&lt;T196)),1,0)</f>
        <v>0</v>
      </c>
      <c r="AK196" s="40" t="n">
        <f aca="false">(1-AJ196)*($E$6*(D196-$E$7*E196)+$E$8*F196+$E$9*G196+$E$10*H196+$E$11*I196)</f>
        <v>3.18447526938773</v>
      </c>
      <c r="AL196" s="40" t="n">
        <f aca="false">IF(AJ196=1,"closed",C196+AK196*(1-$E$14))</f>
        <v>15.1474822809456</v>
      </c>
    </row>
    <row r="197" customFormat="false" ht="15" hidden="false" customHeight="false" outlineLevel="0" collapsed="false">
      <c r="A197" s="48" t="str">
        <f aca="false">'Diagnosis &amp; Store Segmentation'!A127</f>
        <v>DS022</v>
      </c>
      <c r="B197" s="48" t="str">
        <f aca="false">'Diagnosis &amp; Store Segmentation'!BK127</f>
        <v>Close</v>
      </c>
      <c r="C197" s="40" t="n">
        <f aca="false">'Diagnosis &amp; Store Segmentation'!O127</f>
        <v>-3.99067674786555</v>
      </c>
      <c r="D197" s="40" t="n">
        <f aca="false">'Diagnosis &amp; Store Segmentation'!AH127</f>
        <v>1.19889384677355</v>
      </c>
      <c r="E197" s="40" t="n">
        <f aca="false">'Diagnosis &amp; Store Segmentation'!AI127</f>
        <v>9.51382382773476</v>
      </c>
      <c r="F197" s="40" t="n">
        <f aca="false">'Diagnosis &amp; Store Segmentation'!AK127</f>
        <v>0.963675195403868</v>
      </c>
      <c r="G197" s="40" t="n">
        <f aca="false">'Diagnosis &amp; Store Segmentation'!AM127</f>
        <v>0.5855979643334</v>
      </c>
      <c r="H197" s="40" t="n">
        <f aca="false">'Diagnosis &amp; Store Segmentation'!AO127</f>
        <v>1.59966247276986</v>
      </c>
      <c r="I197" s="40" t="n">
        <f aca="false">'Diagnosis &amp; Store Segmentation'!AV127</f>
        <v>0</v>
      </c>
      <c r="J197" s="40" t="n">
        <f aca="false">'Diagnosis &amp; Store Segmentation'!AL127</f>
        <v>2.52315034828472</v>
      </c>
      <c r="K197" s="39" t="n">
        <f aca="false">'Diagnosis &amp; Store Segmentation'!AR127*'Diagnosis &amp; Store Segmentation'!AU127</f>
        <v>0</v>
      </c>
      <c r="L197" s="39" t="n">
        <f aca="false">'Diagnosis &amp; Store Segmentation'!E127</f>
        <v>679.826086956522</v>
      </c>
      <c r="M197" s="40" t="n">
        <f aca="false">'Diagnosis &amp; Store Segmentation'!F127</f>
        <v>145.620519546833</v>
      </c>
      <c r="N197" s="40" t="n">
        <f aca="false">'Diagnosis &amp; Store Segmentation'!AG127*100*'Diagnosis &amp; Store Segmentation'!F127</f>
        <v>112.393499197496</v>
      </c>
      <c r="O197" s="39" t="n">
        <f aca="false">'Diagnosis &amp; Store Segmentation'!BE127</f>
        <v>797.891304347826</v>
      </c>
      <c r="P197" s="40" t="n">
        <f aca="false">'Diagnosis &amp; Store Segmentation'!T127</f>
        <v>2</v>
      </c>
      <c r="Q197" s="40" t="n">
        <f aca="false">'Diagnosis &amp; Store Segmentation'!BH127</f>
        <v>151.457499</v>
      </c>
      <c r="R197" s="40" t="n">
        <f aca="false">'Diagnosis &amp; Store Segmentation'!BI127</f>
        <v>102</v>
      </c>
      <c r="S197" s="48" t="str">
        <f aca="false">'Diagnosis &amp; Store Segmentation'!BL127</f>
        <v>Close</v>
      </c>
      <c r="T197" s="40" t="n">
        <f aca="false">INDEX('Diagnosis &amp; Store Segmentation'!$O$106:$O$165,MATCH('Diagnosis &amp; Store Segmentation'!BC127,'Diagnosis &amp; Store Segmentation'!$A$106:$A$165,0))</f>
        <v>-5.81024560383688</v>
      </c>
      <c r="U197" s="40" t="n">
        <f aca="false">IF(P197&lt;='Assumptions &amp; Data'!$C$74,MIN($C$13*L197,O197),0)</f>
        <v>305.921739130435</v>
      </c>
      <c r="V197" s="40" t="n">
        <f aca="false">-C197+U197*'Assumptions &amp; Data'!$C$63/'Assumptions &amp; Data'!$C$85*('Diagnosis &amp; Store Segmentation'!$B$12-'Assumptions &amp; Data'!$C$71)/100000</f>
        <v>9.12588624593249</v>
      </c>
      <c r="W197" s="40" t="n">
        <f aca="false">IF(V197&gt;0,Q197/V197,99)</f>
        <v>16.5964701858416</v>
      </c>
      <c r="X197" s="40" t="n">
        <f aca="false">IF(AND(B197="Close",U197&gt;0,W197&lt;=$C$12,OR(S197&lt;&gt;"Close",C197&lt;T197)),1,0)</f>
        <v>0</v>
      </c>
      <c r="Y197" s="40" t="n">
        <f aca="false">(1-X197)*($C$6*(D197-$C$7*E197)+$C$8*F197+$C$9*G197+$C$10*H197+$C$11*I197)</f>
        <v>1.62770125040463</v>
      </c>
      <c r="Z197" s="40" t="n">
        <f aca="false">IF(X197=1,"closed",C197+Y197*(1-$C$14))</f>
        <v>-2.55829964750947</v>
      </c>
      <c r="AA197" s="40" t="n">
        <f aca="false">IF(P197&lt;='Assumptions &amp; Data'!$C$74,MIN($D$13*L197,O197),0)</f>
        <v>407.895652173913</v>
      </c>
      <c r="AB197" s="40" t="n">
        <f aca="false">-C197+AA197*'Assumptions &amp; Data'!$C$63/'Assumptions &amp; Data'!$C$85*('Diagnosis &amp; Store Segmentation'!$B$12-'Assumptions &amp; Data'!$C$71)/100000</f>
        <v>10.8376227452881</v>
      </c>
      <c r="AC197" s="40" t="n">
        <f aca="false">IF(AB197&gt;0,Q197/AB197,99)</f>
        <v>13.9751588110824</v>
      </c>
      <c r="AD197" s="40" t="n">
        <f aca="false">IF(AND(B197="Close",AA197&gt;0,AC197&lt;=$D$12,OR(S197&lt;&gt;"Close",C197&lt;T197)),1,0)</f>
        <v>0</v>
      </c>
      <c r="AE197" s="40" t="n">
        <f aca="false">(1-AD197)*($D$6*(D197-$D$7*E197)+$D$8*F197+$D$9*G197+$D$10*H197+$D$11*I197)</f>
        <v>2.50202405817463</v>
      </c>
      <c r="AF197" s="40" t="n">
        <f aca="false">IF(AD197=1,"closed",C197+AE197*(1-$D$14))</f>
        <v>-1.68881461434489</v>
      </c>
      <c r="AG197" s="40" t="n">
        <f aca="false">IF(P197&lt;='Assumptions &amp; Data'!$C$74,MIN($E$13*L197,O197),0)</f>
        <v>475.878260869565</v>
      </c>
      <c r="AH197" s="40" t="n">
        <f aca="false">-C197+AG197*'Assumptions &amp; Data'!$C$63/'Assumptions &amp; Data'!$C$85*('Diagnosis &amp; Store Segmentation'!$B$12-'Assumptions &amp; Data'!$C$71)/100000</f>
        <v>11.9787804115252</v>
      </c>
      <c r="AI197" s="40" t="n">
        <f aca="false">IF(AH197&gt;0,Q197/AH197,99)</f>
        <v>12.6438162982166</v>
      </c>
      <c r="AJ197" s="40" t="n">
        <f aca="false">IF(AND(B197="Close",AG197&gt;0,AI197&lt;=$E$12,OR(S197&lt;&gt;"Close",C197&lt;T197)),1,0)</f>
        <v>0</v>
      </c>
      <c r="AK197" s="40" t="n">
        <f aca="false">(1-AJ197)*($E$6*(D197-$E$7*E197)+$E$8*F197+$E$9*G197+$E$10*H197+$E$11*I197)</f>
        <v>3.16418799508585</v>
      </c>
      <c r="AL197" s="40" t="n">
        <f aca="false">IF(AJ197=1,"closed",C197+AK197*(1-$E$14))</f>
        <v>-0.984698152533984</v>
      </c>
    </row>
    <row r="198" customFormat="false" ht="15" hidden="false" customHeight="false" outlineLevel="0" collapsed="false">
      <c r="A198" s="48" t="str">
        <f aca="false">'Diagnosis &amp; Store Segmentation'!A128</f>
        <v>DS023</v>
      </c>
      <c r="B198" s="48" t="str">
        <f aca="false">'Diagnosis &amp; Store Segmentation'!BK128</f>
        <v>Optimise</v>
      </c>
      <c r="C198" s="40" t="n">
        <f aca="false">'Diagnosis &amp; Store Segmentation'!O128</f>
        <v>12.201950494885</v>
      </c>
      <c r="D198" s="40" t="n">
        <f aca="false">'Diagnosis &amp; Store Segmentation'!AH128</f>
        <v>0.115010726541673</v>
      </c>
      <c r="E198" s="40" t="n">
        <f aca="false">'Diagnosis &amp; Store Segmentation'!AI128</f>
        <v>1.23801913388615</v>
      </c>
      <c r="F198" s="40" t="n">
        <f aca="false">'Diagnosis &amp; Store Segmentation'!AK128</f>
        <v>0</v>
      </c>
      <c r="G198" s="40" t="n">
        <f aca="false">'Diagnosis &amp; Store Segmentation'!AM128</f>
        <v>0</v>
      </c>
      <c r="H198" s="40" t="n">
        <f aca="false">'Diagnosis &amp; Store Segmentation'!AO128</f>
        <v>0</v>
      </c>
      <c r="I198" s="40" t="n">
        <f aca="false">'Diagnosis &amp; Store Segmentation'!AV128</f>
        <v>0</v>
      </c>
      <c r="J198" s="40" t="n">
        <f aca="false">'Diagnosis &amp; Store Segmentation'!AL128</f>
        <v>0</v>
      </c>
      <c r="K198" s="39" t="n">
        <f aca="false">'Diagnosis &amp; Store Segmentation'!AR128*'Diagnosis &amp; Store Segmentation'!AU128</f>
        <v>0</v>
      </c>
      <c r="L198" s="39" t="n">
        <f aca="false">'Diagnosis &amp; Store Segmentation'!E128</f>
        <v>1299.02173913043</v>
      </c>
      <c r="M198" s="40" t="n">
        <f aca="false">'Diagnosis &amp; Store Segmentation'!F128</f>
        <v>260.018965021733</v>
      </c>
      <c r="N198" s="40" t="n">
        <f aca="false">'Diagnosis &amp; Store Segmentation'!AG128*100*'Diagnosis &amp; Store Segmentation'!F128</f>
        <v>10.8659490266624</v>
      </c>
      <c r="O198" s="39" t="n">
        <f aca="false">'Diagnosis &amp; Store Segmentation'!BE128</f>
        <v>24.8152173913043</v>
      </c>
      <c r="P198" s="40" t="n">
        <f aca="false">'Diagnosis &amp; Store Segmentation'!T128</f>
        <v>2.4</v>
      </c>
      <c r="Q198" s="40" t="n">
        <f aca="false">'Diagnosis &amp; Store Segmentation'!BH128</f>
        <v>64.752738</v>
      </c>
      <c r="R198" s="40" t="n">
        <f aca="false">'Diagnosis &amp; Store Segmentation'!BI128</f>
        <v>97.75</v>
      </c>
      <c r="S198" s="48" t="str">
        <f aca="false">'Diagnosis &amp; Store Segmentation'!BL128</f>
        <v>Optimise</v>
      </c>
      <c r="T198" s="40" t="n">
        <f aca="false">INDEX('Diagnosis &amp; Store Segmentation'!$O$106:$O$165,MATCH('Diagnosis &amp; Store Segmentation'!BC128,'Diagnosis &amp; Store Segmentation'!$A$106:$A$165,0))</f>
        <v>1.24816047846209</v>
      </c>
      <c r="U198" s="40" t="n">
        <f aca="false">IF(P198&lt;='Assumptions &amp; Data'!$C$74,MIN($C$13*L198,O198),0)</f>
        <v>0</v>
      </c>
      <c r="V198" s="40" t="n">
        <f aca="false">-C198+U198*'Assumptions &amp; Data'!$C$63/'Assumptions &amp; Data'!$C$85*('Diagnosis &amp; Store Segmentation'!$B$12-'Assumptions &amp; Data'!$C$71)/100000</f>
        <v>-12.201950494885</v>
      </c>
      <c r="W198" s="40" t="n">
        <f aca="false">IF(V198&gt;0,Q198/V198,99)</f>
        <v>99</v>
      </c>
      <c r="X198" s="40" t="n">
        <f aca="false">IF(AND(B198="Close",U198&gt;0,W198&lt;=$C$12,OR(S198&lt;&gt;"Close",C198&lt;T198)),1,0)</f>
        <v>0</v>
      </c>
      <c r="Y198" s="40" t="n">
        <f aca="false">(1-X198)*($C$6*(D198-$C$7*E198)+$C$8*F198+$C$9*G198+$C$10*H198+$C$11*I198)</f>
        <v>0.0482202197666902</v>
      </c>
      <c r="Z198" s="40" t="n">
        <f aca="false">IF(X198=1,"closed",C198+Y198*(1-$C$14))</f>
        <v>12.2443842882797</v>
      </c>
      <c r="AA198" s="40" t="n">
        <f aca="false">IF(P198&lt;='Assumptions &amp; Data'!$C$74,MIN($D$13*L198,O198),0)</f>
        <v>0</v>
      </c>
      <c r="AB198" s="40" t="n">
        <f aca="false">-C198+AA198*'Assumptions &amp; Data'!$C$63/'Assumptions &amp; Data'!$C$85*('Diagnosis &amp; Store Segmentation'!$B$12-'Assumptions &amp; Data'!$C$71)/100000</f>
        <v>-12.201950494885</v>
      </c>
      <c r="AC198" s="40" t="n">
        <f aca="false">IF(AB198&gt;0,Q198/AB198,99)</f>
        <v>99</v>
      </c>
      <c r="AD198" s="40" t="n">
        <f aca="false">IF(AND(B198="Close",AA198&gt;0,AC198&lt;=$D$12,OR(S198&lt;&gt;"Close",C198&lt;T198)),1,0)</f>
        <v>0</v>
      </c>
      <c r="AE198" s="40" t="n">
        <f aca="false">(1-AD198)*($D$6*(D198-$D$7*E198)+$D$8*F198+$D$9*G198+$D$10*H198+$D$11*I198)</f>
        <v>0.0718413746419678</v>
      </c>
      <c r="AF198" s="40" t="n">
        <f aca="false">IF(AD198=1,"closed",C198+AE198*(1-$D$14))</f>
        <v>12.2680445595556</v>
      </c>
      <c r="AG198" s="40" t="n">
        <f aca="false">IF(P198&lt;='Assumptions &amp; Data'!$C$74,MIN($E$13*L198,O198),0)</f>
        <v>0</v>
      </c>
      <c r="AH198" s="40" t="n">
        <f aca="false">-C198+AG198*'Assumptions &amp; Data'!$C$63/'Assumptions &amp; Data'!$C$85*('Diagnosis &amp; Store Segmentation'!$B$12-'Assumptions &amp; Data'!$C$71)/100000</f>
        <v>-12.201950494885</v>
      </c>
      <c r="AI198" s="40" t="n">
        <f aca="false">IF(AH198&gt;0,Q198/AH198,99)</f>
        <v>99</v>
      </c>
      <c r="AJ198" s="40" t="n">
        <f aca="false">IF(AND(B198="Close",AG198&gt;0,AI198&lt;=$E$12,OR(S198&lt;&gt;"Close",C198&lt;T198)),1,0)</f>
        <v>0</v>
      </c>
      <c r="AK198" s="40" t="n">
        <f aca="false">(1-AJ198)*($E$6*(D198-$E$7*E198)+$E$8*F198+$E$9*G198+$E$10*H198+$E$11*I198)</f>
        <v>0.0903929037137992</v>
      </c>
      <c r="AL198" s="40" t="n">
        <f aca="false">IF(AJ198=1,"closed",C198+AK198*(1-$E$14))</f>
        <v>12.2878237534131</v>
      </c>
    </row>
    <row r="199" customFormat="false" ht="15" hidden="false" customHeight="false" outlineLevel="0" collapsed="false">
      <c r="A199" s="48" t="str">
        <f aca="false">'Diagnosis &amp; Store Segmentation'!A129</f>
        <v>DS024</v>
      </c>
      <c r="B199" s="48" t="str">
        <f aca="false">'Diagnosis &amp; Store Segmentation'!BK129</f>
        <v>Optimise</v>
      </c>
      <c r="C199" s="40" t="n">
        <f aca="false">'Diagnosis &amp; Store Segmentation'!O129</f>
        <v>6.16193692471367</v>
      </c>
      <c r="D199" s="40" t="n">
        <f aca="false">'Diagnosis &amp; Store Segmentation'!AH129</f>
        <v>0</v>
      </c>
      <c r="E199" s="40" t="n">
        <f aca="false">'Diagnosis &amp; Store Segmentation'!AI129</f>
        <v>0</v>
      </c>
      <c r="F199" s="40" t="n">
        <f aca="false">'Diagnosis &amp; Store Segmentation'!AK129</f>
        <v>0</v>
      </c>
      <c r="G199" s="40" t="n">
        <f aca="false">'Diagnosis &amp; Store Segmentation'!AM129</f>
        <v>0.0521551316123812</v>
      </c>
      <c r="H199" s="40" t="n">
        <f aca="false">'Diagnosis &amp; Store Segmentation'!AO129</f>
        <v>0.395320483409913</v>
      </c>
      <c r="I199" s="40" t="n">
        <f aca="false">'Diagnosis &amp; Store Segmentation'!AV129</f>
        <v>0</v>
      </c>
      <c r="J199" s="40" t="n">
        <f aca="false">'Diagnosis &amp; Store Segmentation'!AL129</f>
        <v>0.224719426138055</v>
      </c>
      <c r="K199" s="39" t="n">
        <f aca="false">'Diagnosis &amp; Store Segmentation'!AR129*'Diagnosis &amp; Store Segmentation'!AU129</f>
        <v>0</v>
      </c>
      <c r="L199" s="39" t="n">
        <f aca="false">'Diagnosis &amp; Store Segmentation'!E129</f>
        <v>1111.0652173913</v>
      </c>
      <c r="M199" s="40" t="n">
        <f aca="false">'Diagnosis &amp; Store Segmentation'!F129</f>
        <v>221.0458565508</v>
      </c>
      <c r="N199" s="40" t="n">
        <f aca="false">'Diagnosis &amp; Store Segmentation'!AG129*100*'Diagnosis &amp; Store Segmentation'!F129</f>
        <v>0</v>
      </c>
      <c r="O199" s="39" t="n">
        <f aca="false">'Diagnosis &amp; Store Segmentation'!BE129</f>
        <v>0</v>
      </c>
      <c r="P199" s="40" t="n">
        <f aca="false">'Diagnosis &amp; Store Segmentation'!T129</f>
        <v>3.4</v>
      </c>
      <c r="Q199" s="40" t="n">
        <f aca="false">'Diagnosis &amp; Store Segmentation'!BH129</f>
        <v>195.727428</v>
      </c>
      <c r="R199" s="40" t="n">
        <f aca="false">'Diagnosis &amp; Store Segmentation'!BI129</f>
        <v>113.333333333333</v>
      </c>
      <c r="S199" s="48" t="str">
        <f aca="false">'Diagnosis &amp; Store Segmentation'!BL129</f>
        <v>Optimise</v>
      </c>
      <c r="T199" s="40" t="n">
        <f aca="false">INDEX('Diagnosis &amp; Store Segmentation'!$O$106:$O$165,MATCH('Diagnosis &amp; Store Segmentation'!BC129,'Diagnosis &amp; Store Segmentation'!$A$106:$A$165,0))</f>
        <v>12.1222307750272</v>
      </c>
      <c r="U199" s="40" t="n">
        <f aca="false">IF(P199&lt;='Assumptions &amp; Data'!$C$74,MIN($C$13*L199,O199),0)</f>
        <v>0</v>
      </c>
      <c r="V199" s="40" t="n">
        <f aca="false">-C199+U199*'Assumptions &amp; Data'!$C$63/'Assumptions &amp; Data'!$C$85*('Diagnosis &amp; Store Segmentation'!$B$12-'Assumptions &amp; Data'!$C$71)/100000</f>
        <v>-6.16193692471367</v>
      </c>
      <c r="W199" s="40" t="n">
        <f aca="false">IF(V199&gt;0,Q199/V199,99)</f>
        <v>99</v>
      </c>
      <c r="X199" s="40" t="n">
        <f aca="false">IF(AND(B199="Close",U199&gt;0,W199&lt;=$C$12,OR(S199&lt;&gt;"Close",C199&lt;T199)),1,0)</f>
        <v>0</v>
      </c>
      <c r="Y199" s="40" t="n">
        <f aca="false">(1-X199)*($C$6*(D199-$C$7*E199)+$C$8*F199+$C$9*G199+$C$10*H199+$C$11*I199)</f>
        <v>0.139458197667926</v>
      </c>
      <c r="Z199" s="40" t="n">
        <f aca="false">IF(X199=1,"closed",C199+Y199*(1-$C$14))</f>
        <v>6.28466013866144</v>
      </c>
      <c r="AA199" s="40" t="n">
        <f aca="false">IF(P199&lt;='Assumptions &amp; Data'!$C$74,MIN($D$13*L199,O199),0)</f>
        <v>0</v>
      </c>
      <c r="AB199" s="40" t="n">
        <f aca="false">-C199+AA199*'Assumptions &amp; Data'!$C$63/'Assumptions &amp; Data'!$C$85*('Diagnosis &amp; Store Segmentation'!$B$12-'Assumptions &amp; Data'!$C$71)/100000</f>
        <v>-6.16193692471367</v>
      </c>
      <c r="AC199" s="40" t="n">
        <f aca="false">IF(AB199&gt;0,Q199/AB199,99)</f>
        <v>99</v>
      </c>
      <c r="AD199" s="40" t="n">
        <f aca="false">IF(AND(B199="Close",AA199&gt;0,AC199&lt;=$D$12,OR(S199&lt;&gt;"Close",C199&lt;T199)),1,0)</f>
        <v>0</v>
      </c>
      <c r="AE199" s="40" t="n">
        <f aca="false">(1-AD199)*($D$6*(D199-$D$7*E199)+$D$8*F199+$D$9*G199+$D$10*H199+$D$11*I199)</f>
        <v>0.228953320672385</v>
      </c>
      <c r="AF199" s="40" t="n">
        <f aca="false">IF(AD199=1,"closed",C199+AE199*(1-$D$14))</f>
        <v>6.37257397973226</v>
      </c>
      <c r="AG199" s="40" t="n">
        <f aca="false">IF(P199&lt;='Assumptions &amp; Data'!$C$74,MIN($E$13*L199,O199),0)</f>
        <v>0</v>
      </c>
      <c r="AH199" s="40" t="n">
        <f aca="false">-C199+AG199*'Assumptions &amp; Data'!$C$63/'Assumptions &amp; Data'!$C$85*('Diagnosis &amp; Store Segmentation'!$B$12-'Assumptions &amp; Data'!$C$71)/100000</f>
        <v>-6.16193692471367</v>
      </c>
      <c r="AI199" s="40" t="n">
        <f aca="false">IF(AH199&gt;0,Q199/AH199,99)</f>
        <v>99</v>
      </c>
      <c r="AJ199" s="40" t="n">
        <f aca="false">IF(AND(B199="Close",AG199&gt;0,AI199&lt;=$E$12,OR(S199&lt;&gt;"Close",C199&lt;T199)),1,0)</f>
        <v>0</v>
      </c>
      <c r="AK199" s="40" t="n">
        <f aca="false">(1-AJ199)*($E$6*(D199-$E$7*E199)+$E$8*F199+$E$9*G199+$E$10*H199+$E$11*I199)</f>
        <v>0.296074662925729</v>
      </c>
      <c r="AL199" s="40" t="n">
        <f aca="false">IF(AJ199=1,"closed",C199+AK199*(1-$E$14))</f>
        <v>6.44320785449311</v>
      </c>
    </row>
    <row r="200" customFormat="false" ht="15" hidden="false" customHeight="false" outlineLevel="0" collapsed="false">
      <c r="A200" s="48" t="str">
        <f aca="false">'Diagnosis &amp; Store Segmentation'!A130</f>
        <v>DS025</v>
      </c>
      <c r="B200" s="48" t="str">
        <f aca="false">'Diagnosis &amp; Store Segmentation'!BK130</f>
        <v>Optimise</v>
      </c>
      <c r="C200" s="40" t="n">
        <f aca="false">'Diagnosis &amp; Store Segmentation'!O130</f>
        <v>1.24816047846209</v>
      </c>
      <c r="D200" s="40" t="n">
        <f aca="false">'Diagnosis &amp; Store Segmentation'!AH130</f>
        <v>0</v>
      </c>
      <c r="E200" s="40" t="n">
        <f aca="false">'Diagnosis &amp; Store Segmentation'!AI130</f>
        <v>0</v>
      </c>
      <c r="F200" s="40" t="n">
        <f aca="false">'Diagnosis &amp; Store Segmentation'!AK130</f>
        <v>0</v>
      </c>
      <c r="G200" s="40" t="n">
        <f aca="false">'Diagnosis &amp; Store Segmentation'!AM130</f>
        <v>0</v>
      </c>
      <c r="H200" s="40" t="n">
        <f aca="false">'Diagnosis &amp; Store Segmentation'!AO130</f>
        <v>2.1319308740017</v>
      </c>
      <c r="I200" s="40" t="n">
        <f aca="false">'Diagnosis &amp; Store Segmentation'!AV130</f>
        <v>3.04</v>
      </c>
      <c r="J200" s="40" t="n">
        <f aca="false">'Diagnosis &amp; Store Segmentation'!AL130</f>
        <v>0</v>
      </c>
      <c r="K200" s="39" t="n">
        <f aca="false">'Diagnosis &amp; Store Segmentation'!AR130*'Diagnosis &amp; Store Segmentation'!AU130</f>
        <v>0</v>
      </c>
      <c r="L200" s="39" t="n">
        <f aca="false">'Diagnosis &amp; Store Segmentation'!E130</f>
        <v>1271.1847826087</v>
      </c>
      <c r="M200" s="40" t="n">
        <f aca="false">'Diagnosis &amp; Store Segmentation'!F130</f>
        <v>235.7475497643</v>
      </c>
      <c r="N200" s="40" t="n">
        <f aca="false">'Diagnosis &amp; Store Segmentation'!AG130*100*'Diagnosis &amp; Store Segmentation'!F130</f>
        <v>0</v>
      </c>
      <c r="O200" s="39" t="n">
        <f aca="false">'Diagnosis &amp; Store Segmentation'!BE130</f>
        <v>0</v>
      </c>
      <c r="P200" s="40" t="n">
        <f aca="false">'Diagnosis &amp; Store Segmentation'!T130</f>
        <v>2.4</v>
      </c>
      <c r="Q200" s="40" t="n">
        <f aca="false">'Diagnosis &amp; Store Segmentation'!BH130</f>
        <v>87.247428</v>
      </c>
      <c r="R200" s="40" t="n">
        <f aca="false">'Diagnosis &amp; Store Segmentation'!BI130</f>
        <v>100.380952380952</v>
      </c>
      <c r="S200" s="48" t="str">
        <f aca="false">'Diagnosis &amp; Store Segmentation'!BL130</f>
        <v>Optimise</v>
      </c>
      <c r="T200" s="40" t="n">
        <f aca="false">INDEX('Diagnosis &amp; Store Segmentation'!$O$106:$O$165,MATCH('Diagnosis &amp; Store Segmentation'!BC130,'Diagnosis &amp; Store Segmentation'!$A$106:$A$165,0))</f>
        <v>12.201950494885</v>
      </c>
      <c r="U200" s="40" t="n">
        <f aca="false">IF(P200&lt;='Assumptions &amp; Data'!$C$74,MIN($C$13*L200,O200),0)</f>
        <v>0</v>
      </c>
      <c r="V200" s="40" t="n">
        <f aca="false">-C200+U200*'Assumptions &amp; Data'!$C$63/'Assumptions &amp; Data'!$C$85*('Diagnosis &amp; Store Segmentation'!$B$12-'Assumptions &amp; Data'!$C$71)/100000</f>
        <v>-1.24816047846209</v>
      </c>
      <c r="W200" s="40" t="n">
        <f aca="false">IF(V200&gt;0,Q200/V200,99)</f>
        <v>99</v>
      </c>
      <c r="X200" s="40" t="n">
        <f aca="false">IF(AND(B200="Close",U200&gt;0,W200&lt;=$C$12,OR(S200&lt;&gt;"Close",C200&lt;T200)),1,0)</f>
        <v>0</v>
      </c>
      <c r="Y200" s="40" t="n">
        <f aca="false">(1-X200)*($C$6*(D200-$C$7*E200)+$C$8*F200+$C$9*G200+$C$10*H200+$C$11*I200)</f>
        <v>1.55157926220051</v>
      </c>
      <c r="Z200" s="40" t="n">
        <f aca="false">IF(X200=1,"closed",C200+Y200*(1-$C$14))</f>
        <v>2.61355022919854</v>
      </c>
      <c r="AA200" s="40" t="n">
        <f aca="false">IF(P200&lt;='Assumptions &amp; Data'!$C$74,MIN($D$13*L200,O200),0)</f>
        <v>0</v>
      </c>
      <c r="AB200" s="40" t="n">
        <f aca="false">-C200+AA200*'Assumptions &amp; Data'!$C$63/'Assumptions &amp; Data'!$C$85*('Diagnosis &amp; Store Segmentation'!$B$12-'Assumptions &amp; Data'!$C$71)/100000</f>
        <v>-1.24816047846209</v>
      </c>
      <c r="AC200" s="40" t="n">
        <f aca="false">IF(AB200&gt;0,Q200/AB200,99)</f>
        <v>99</v>
      </c>
      <c r="AD200" s="40" t="n">
        <f aca="false">IF(AND(B200="Close",AA200&gt;0,AC200&lt;=$D$12,OR(S200&lt;&gt;"Close",C200&lt;T200)),1,0)</f>
        <v>0</v>
      </c>
      <c r="AE200" s="40" t="n">
        <f aca="false">(1-AD200)*($D$6*(D200-$D$7*E200)+$D$8*F200+$D$9*G200+$D$10*H200+$D$11*I200)</f>
        <v>2.58596543700085</v>
      </c>
      <c r="AF200" s="40" t="n">
        <f aca="false">IF(AD200=1,"closed",C200+AE200*(1-$D$14))</f>
        <v>3.62724868050288</v>
      </c>
      <c r="AG200" s="40" t="n">
        <f aca="false">IF(P200&lt;='Assumptions &amp; Data'!$C$74,MIN($E$13*L200,O200),0)</f>
        <v>0</v>
      </c>
      <c r="AH200" s="40" t="n">
        <f aca="false">-C200+AG200*'Assumptions &amp; Data'!$C$63/'Assumptions &amp; Data'!$C$85*('Diagnosis &amp; Store Segmentation'!$B$12-'Assumptions &amp; Data'!$C$71)/100000</f>
        <v>-1.24816047846209</v>
      </c>
      <c r="AI200" s="40" t="n">
        <f aca="false">IF(AH200&gt;0,Q200/AH200,99)</f>
        <v>99</v>
      </c>
      <c r="AJ200" s="40" t="n">
        <f aca="false">IF(AND(B200="Close",AG200&gt;0,AI200&lt;=$E$12,OR(S200&lt;&gt;"Close",C200&lt;T200)),1,0)</f>
        <v>0</v>
      </c>
      <c r="AK200" s="40" t="n">
        <f aca="false">(1-AJ200)*($E$6*(D200-$E$7*E200)+$E$8*F200+$E$9*G200+$E$10*H200+$E$11*I200)</f>
        <v>3.51375506810111</v>
      </c>
      <c r="AL200" s="40" t="n">
        <f aca="false">IF(AJ200=1,"closed",C200+AK200*(1-$E$14))</f>
        <v>4.58622779315814</v>
      </c>
    </row>
    <row r="201" customFormat="false" ht="15" hidden="false" customHeight="false" outlineLevel="0" collapsed="false">
      <c r="A201" s="48" t="str">
        <f aca="false">'Diagnosis &amp; Store Segmentation'!A131</f>
        <v>DS026</v>
      </c>
      <c r="B201" s="48" t="str">
        <f aca="false">'Diagnosis &amp; Store Segmentation'!BK131</f>
        <v>Relocate or resize</v>
      </c>
      <c r="C201" s="40" t="n">
        <f aca="false">'Diagnosis &amp; Store Segmentation'!O131</f>
        <v>-5.93977135065813</v>
      </c>
      <c r="D201" s="40" t="n">
        <f aca="false">'Diagnosis &amp; Store Segmentation'!AH131</f>
        <v>2.17283854940043</v>
      </c>
      <c r="E201" s="40" t="n">
        <f aca="false">'Diagnosis &amp; Store Segmentation'!AI131</f>
        <v>19.7195974082955</v>
      </c>
      <c r="F201" s="40" t="n">
        <f aca="false">'Diagnosis &amp; Store Segmentation'!AK131</f>
        <v>0</v>
      </c>
      <c r="G201" s="40" t="n">
        <f aca="false">'Diagnosis &amp; Store Segmentation'!AM131</f>
        <v>0</v>
      </c>
      <c r="H201" s="40" t="n">
        <f aca="false">'Diagnosis &amp; Store Segmentation'!AO131</f>
        <v>1.85009660555336</v>
      </c>
      <c r="I201" s="40" t="n">
        <f aca="false">'Diagnosis &amp; Store Segmentation'!AV131</f>
        <v>0</v>
      </c>
      <c r="J201" s="40" t="n">
        <f aca="false">'Diagnosis &amp; Store Segmentation'!AL131</f>
        <v>0</v>
      </c>
      <c r="K201" s="39" t="n">
        <f aca="false">'Diagnosis &amp; Store Segmentation'!AR131*'Diagnosis &amp; Store Segmentation'!AU131</f>
        <v>0</v>
      </c>
      <c r="L201" s="39" t="n">
        <f aca="false">'Diagnosis &amp; Store Segmentation'!E131</f>
        <v>729.119565217391</v>
      </c>
      <c r="M201" s="40" t="n">
        <f aca="false">'Diagnosis &amp; Store Segmentation'!F131</f>
        <v>142.089053251067</v>
      </c>
      <c r="N201" s="40" t="n">
        <f aca="false">'Diagnosis &amp; Store Segmentation'!AG131*100*'Diagnosis &amp; Store Segmentation'!F131</f>
        <v>202.28227287699</v>
      </c>
      <c r="O201" s="39" t="n">
        <f aca="false">'Diagnosis &amp; Store Segmentation'!BE131</f>
        <v>955.663043478261</v>
      </c>
      <c r="P201" s="40" t="n">
        <f aca="false">'Diagnosis &amp; Store Segmentation'!T131</f>
        <v>2.7</v>
      </c>
      <c r="Q201" s="40" t="n">
        <f aca="false">'Diagnosis &amp; Store Segmentation'!BH131</f>
        <v>119.054301</v>
      </c>
      <c r="R201" s="40" t="n">
        <f aca="false">'Diagnosis &amp; Store Segmentation'!BI131</f>
        <v>120.214285714286</v>
      </c>
      <c r="S201" s="48" t="str">
        <f aca="false">'Diagnosis &amp; Store Segmentation'!BL131</f>
        <v>Turn around</v>
      </c>
      <c r="T201" s="40" t="n">
        <f aca="false">INDEX('Diagnosis &amp; Store Segmentation'!$O$106:$O$165,MATCH('Diagnosis &amp; Store Segmentation'!BC131,'Diagnosis &amp; Store Segmentation'!$A$106:$A$165,0))</f>
        <v>-7.66807663572752</v>
      </c>
      <c r="U201" s="40" t="n">
        <f aca="false">IF(P201&lt;='Assumptions &amp; Data'!$C$74,MIN($C$13*L201,O201),0)</f>
        <v>0</v>
      </c>
      <c r="V201" s="40" t="n">
        <f aca="false">-C201+U201*'Assumptions &amp; Data'!$C$63/'Assumptions &amp; Data'!$C$85*('Diagnosis &amp; Store Segmentation'!$B$12-'Assumptions &amp; Data'!$C$71)/100000</f>
        <v>5.93977135065813</v>
      </c>
      <c r="W201" s="40" t="n">
        <f aca="false">IF(V201&gt;0,Q201/V201,99)</f>
        <v>20.0435831569188</v>
      </c>
      <c r="X201" s="40" t="n">
        <f aca="false">IF(AND(B201="Close",U201&gt;0,W201&lt;=$C$12,OR(S201&lt;&gt;"Close",C201&lt;T201)),1,0)</f>
        <v>0</v>
      </c>
      <c r="Y201" s="40" t="n">
        <f aca="false">(1-X201)*($C$6*(D201-$C$7*E201)+$C$8*F201+$C$9*G201+$C$10*H201+$C$11*I201)</f>
        <v>1.49355127580401</v>
      </c>
      <c r="Z201" s="40" t="n">
        <f aca="false">IF(X201=1,"closed",C201+Y201*(1-$C$14))</f>
        <v>-4.62544622795061</v>
      </c>
      <c r="AA201" s="40" t="n">
        <f aca="false">IF(P201&lt;='Assumptions &amp; Data'!$C$74,MIN($D$13*L201,O201),0)</f>
        <v>0</v>
      </c>
      <c r="AB201" s="40" t="n">
        <f aca="false">-C201+AA201*'Assumptions &amp; Data'!$C$63/'Assumptions &amp; Data'!$C$85*('Diagnosis &amp; Store Segmentation'!$B$12-'Assumptions &amp; Data'!$C$71)/100000</f>
        <v>5.93977135065813</v>
      </c>
      <c r="AC201" s="40" t="n">
        <f aca="false">IF(AB201&gt;0,Q201/AB201,99)</f>
        <v>20.0435831569188</v>
      </c>
      <c r="AD201" s="40" t="n">
        <f aca="false">IF(AND(B201="Close",AA201&gt;0,AC201&lt;=$D$12,OR(S201&lt;&gt;"Close",C201&lt;T201)),1,0)</f>
        <v>0</v>
      </c>
      <c r="AE201" s="40" t="n">
        <f aca="false">(1-AD201)*($D$6*(D201-$D$7*E201)+$D$8*F201+$D$9*G201+$D$10*H201+$D$11*I201)</f>
        <v>2.30799810549891</v>
      </c>
      <c r="AF201" s="40" t="n">
        <f aca="false">IF(AD201=1,"closed",C201+AE201*(1-$D$14))</f>
        <v>-3.81641309359914</v>
      </c>
      <c r="AG201" s="40" t="n">
        <f aca="false">IF(P201&lt;='Assumptions &amp; Data'!$C$74,MIN($E$13*L201,O201),0)</f>
        <v>0</v>
      </c>
      <c r="AH201" s="40" t="n">
        <f aca="false">-C201+AG201*'Assumptions &amp; Data'!$C$63/'Assumptions &amp; Data'!$C$85*('Diagnosis &amp; Store Segmentation'!$B$12-'Assumptions &amp; Data'!$C$71)/100000</f>
        <v>5.93977135065813</v>
      </c>
      <c r="AI201" s="40" t="n">
        <f aca="false">IF(AH201&gt;0,Q201/AH201,99)</f>
        <v>20.0435831569188</v>
      </c>
      <c r="AJ201" s="40" t="n">
        <f aca="false">IF(AND(B201="Close",AG201&gt;0,AI201&lt;=$E$12,OR(S201&lt;&gt;"Close",C201&lt;T201)),1,0)</f>
        <v>0</v>
      </c>
      <c r="AK201" s="40" t="n">
        <f aca="false">(1-AJ201)*($E$6*(D201-$E$7*E201)+$E$8*F201+$E$9*G201+$E$10*H201+$E$11*I201)</f>
        <v>2.93214395602069</v>
      </c>
      <c r="AL201" s="40" t="n">
        <f aca="false">IF(AJ201=1,"closed",C201+AK201*(1-$E$14))</f>
        <v>-3.15423459243848</v>
      </c>
    </row>
    <row r="202" customFormat="false" ht="15" hidden="false" customHeight="false" outlineLevel="0" collapsed="false">
      <c r="A202" s="48" t="str">
        <f aca="false">'Diagnosis &amp; Store Segmentation'!A132</f>
        <v>DS027</v>
      </c>
      <c r="B202" s="48" t="str">
        <f aca="false">'Diagnosis &amp; Store Segmentation'!BK132</f>
        <v>Relocate or resize</v>
      </c>
      <c r="C202" s="40" t="n">
        <f aca="false">'Diagnosis &amp; Store Segmentation'!O132</f>
        <v>-10.2737622453989</v>
      </c>
      <c r="D202" s="40" t="n">
        <f aca="false">'Diagnosis &amp; Store Segmentation'!AH132</f>
        <v>1.57985224449768</v>
      </c>
      <c r="E202" s="40" t="n">
        <f aca="false">'Diagnosis &amp; Store Segmentation'!AI132</f>
        <v>9.50223425090956</v>
      </c>
      <c r="F202" s="40" t="n">
        <f aca="false">'Diagnosis &amp; Store Segmentation'!AK132</f>
        <v>0.603831950412973</v>
      </c>
      <c r="G202" s="40" t="n">
        <f aca="false">'Diagnosis &amp; Store Segmentation'!AM132</f>
        <v>1.51057624001367</v>
      </c>
      <c r="H202" s="40" t="n">
        <f aca="false">'Diagnosis &amp; Store Segmentation'!AO132</f>
        <v>0.963685511667607</v>
      </c>
      <c r="I202" s="40" t="n">
        <f aca="false">'Diagnosis &amp; Store Segmentation'!AV132</f>
        <v>0</v>
      </c>
      <c r="J202" s="40" t="n">
        <f aca="false">'Diagnosis &amp; Store Segmentation'!AL132</f>
        <v>6.80439747753905</v>
      </c>
      <c r="K202" s="39" t="n">
        <f aca="false">'Diagnosis &amp; Store Segmentation'!AR132*'Diagnosis &amp; Store Segmentation'!AU132</f>
        <v>0</v>
      </c>
      <c r="L202" s="39" t="n">
        <f aca="false">'Diagnosis &amp; Store Segmentation'!E132</f>
        <v>350.978260869565</v>
      </c>
      <c r="M202" s="40" t="n">
        <f aca="false">'Diagnosis &amp; Store Segmentation'!F132</f>
        <v>62.4201621232</v>
      </c>
      <c r="N202" s="40" t="n">
        <f aca="false">'Diagnosis &amp; Store Segmentation'!AG132*100*'Diagnosis &amp; Store Segmentation'!F132</f>
        <v>145.640667923372</v>
      </c>
      <c r="O202" s="39" t="n">
        <f aca="false">'Diagnosis &amp; Store Segmentation'!BE132</f>
        <v>1417.22826086957</v>
      </c>
      <c r="P202" s="40" t="n">
        <f aca="false">'Diagnosis &amp; Store Segmentation'!T132</f>
        <v>1.8</v>
      </c>
      <c r="Q202" s="40" t="n">
        <f aca="false">'Diagnosis &amp; Store Segmentation'!BH132</f>
        <v>79.6368</v>
      </c>
      <c r="R202" s="40" t="n">
        <f aca="false">'Diagnosis &amp; Store Segmentation'!BI132</f>
        <v>123.047619047619</v>
      </c>
      <c r="S202" s="48" t="str">
        <f aca="false">'Diagnosis &amp; Store Segmentation'!BL132</f>
        <v>Relocate or resize</v>
      </c>
      <c r="T202" s="40" t="n">
        <f aca="false">INDEX('Diagnosis &amp; Store Segmentation'!$O$106:$O$165,MATCH('Diagnosis &amp; Store Segmentation'!BC132,'Diagnosis &amp; Store Segmentation'!$A$106:$A$165,0))</f>
        <v>-11.4811936167105</v>
      </c>
      <c r="U202" s="40" t="n">
        <f aca="false">IF(P202&lt;='Assumptions &amp; Data'!$C$74,MIN($C$13*L202,O202),0)</f>
        <v>157.940217391304</v>
      </c>
      <c r="V202" s="40" t="n">
        <f aca="false">-C202+U202*'Assumptions &amp; Data'!$C$63/'Assumptions &amp; Data'!$C$85*('Diagnosis &amp; Store Segmentation'!$B$12-'Assumptions &amp; Data'!$C$71)/100000</f>
        <v>12.9249504439884</v>
      </c>
      <c r="W202" s="40" t="n">
        <f aca="false">IF(V202&gt;0,Q202/V202,99)</f>
        <v>6.16147816930628</v>
      </c>
      <c r="X202" s="40" t="n">
        <f aca="false">IF(AND(B202="Close",U202&gt;0,W202&lt;=$C$12,OR(S202&lt;&gt;"Close",C202&lt;T202)),1,0)</f>
        <v>0</v>
      </c>
      <c r="Y202" s="40" t="n">
        <f aca="false">(1-X202)*($C$6*(D202-$C$7*E202)+$C$8*F202+$C$9*G202+$C$10*H202+$C$11*I202)</f>
        <v>1.85352829503796</v>
      </c>
      <c r="Z202" s="40" t="n">
        <f aca="false">IF(X202=1,"closed",C202+Y202*(1-$C$14))</f>
        <v>-8.64265734576549</v>
      </c>
      <c r="AA202" s="40" t="n">
        <f aca="false">IF(P202&lt;='Assumptions &amp; Data'!$C$74,MIN($D$13*L202,O202),0)</f>
        <v>210.586956521739</v>
      </c>
      <c r="AB202" s="40" t="n">
        <f aca="false">-C202+AA202*'Assumptions &amp; Data'!$C$63/'Assumptions &amp; Data'!$C$85*('Diagnosis &amp; Store Segmentation'!$B$12-'Assumptions &amp; Data'!$C$71)/100000</f>
        <v>13.8086798435182</v>
      </c>
      <c r="AC202" s="40" t="n">
        <f aca="false">IF(AB202&gt;0,Q202/AB202,99)</f>
        <v>5.76715521704136</v>
      </c>
      <c r="AD202" s="40" t="n">
        <f aca="false">IF(AND(B202="Close",AA202&gt;0,AC202&lt;=$D$12,OR(S202&lt;&gt;"Close",C202&lt;T202)),1,0)</f>
        <v>0</v>
      </c>
      <c r="AE202" s="40" t="n">
        <f aca="false">(1-AD202)*($D$6*(D202-$D$7*E202)+$D$8*F202+$D$9*G202+$D$10*H202+$D$11*I202)</f>
        <v>2.7898686014818</v>
      </c>
      <c r="AF202" s="40" t="n">
        <f aca="false">IF(AD202=1,"closed",C202+AE202*(1-$D$14))</f>
        <v>-7.70708313203564</v>
      </c>
      <c r="AG202" s="40" t="n">
        <f aca="false">IF(P202&lt;='Assumptions &amp; Data'!$C$74,MIN($E$13*L202,O202),0)</f>
        <v>245.684782608696</v>
      </c>
      <c r="AH202" s="40" t="n">
        <f aca="false">-C202+AG202*'Assumptions &amp; Data'!$C$63/'Assumptions &amp; Data'!$C$85*('Diagnosis &amp; Store Segmentation'!$B$12-'Assumptions &amp; Data'!$C$71)/100000</f>
        <v>14.3978327765381</v>
      </c>
      <c r="AI202" s="40" t="n">
        <f aca="false">IF(AH202&gt;0,Q202/AH202,99)</f>
        <v>5.53116578279556</v>
      </c>
      <c r="AJ202" s="40" t="n">
        <f aca="false">IF(AND(B202="Close",AG202&gt;0,AI202&lt;=$E$12,OR(S202&lt;&gt;"Close",C202&lt;T202)),1,0)</f>
        <v>0</v>
      </c>
      <c r="AK202" s="40" t="n">
        <f aca="false">(1-AJ202)*($E$6*(D202-$E$7*E202)+$E$8*F202+$E$9*G202+$E$10*H202+$E$11*I202)</f>
        <v>3.49853783943404</v>
      </c>
      <c r="AL202" s="40" t="n">
        <f aca="false">IF(AJ202=1,"closed",C202+AK202*(1-$E$14))</f>
        <v>-6.95015129793655</v>
      </c>
    </row>
    <row r="203" customFormat="false" ht="15" hidden="false" customHeight="false" outlineLevel="0" collapsed="false">
      <c r="A203" s="48" t="str">
        <f aca="false">'Diagnosis &amp; Store Segmentation'!A133</f>
        <v>DS028</v>
      </c>
      <c r="B203" s="48" t="str">
        <f aca="false">'Diagnosis &amp; Store Segmentation'!BK133</f>
        <v>Optimise</v>
      </c>
      <c r="C203" s="40" t="n">
        <f aca="false">'Diagnosis &amp; Store Segmentation'!O133</f>
        <v>8.45124112702455</v>
      </c>
      <c r="D203" s="40" t="n">
        <f aca="false">'Diagnosis &amp; Store Segmentation'!AH133</f>
        <v>0</v>
      </c>
      <c r="E203" s="40" t="n">
        <f aca="false">'Diagnosis &amp; Store Segmentation'!AI133</f>
        <v>0</v>
      </c>
      <c r="F203" s="40" t="n">
        <f aca="false">'Diagnosis &amp; Store Segmentation'!AK133</f>
        <v>0</v>
      </c>
      <c r="G203" s="40" t="n">
        <f aca="false">'Diagnosis &amp; Store Segmentation'!AM133</f>
        <v>0.190219358322747</v>
      </c>
      <c r="H203" s="40" t="n">
        <f aca="false">'Diagnosis &amp; Store Segmentation'!AO133</f>
        <v>0.546926840663368</v>
      </c>
      <c r="I203" s="40" t="n">
        <f aca="false">'Diagnosis &amp; Store Segmentation'!AV133</f>
        <v>0.735</v>
      </c>
      <c r="J203" s="40" t="n">
        <f aca="false">'Diagnosis &amp; Store Segmentation'!AL133</f>
        <v>0.85684395640877</v>
      </c>
      <c r="K203" s="39" t="n">
        <f aca="false">'Diagnosis &amp; Store Segmentation'!AR133*'Diagnosis &amp; Store Segmentation'!AU133</f>
        <v>0</v>
      </c>
      <c r="L203" s="39" t="n">
        <f aca="false">'Diagnosis &amp; Store Segmentation'!E133</f>
        <v>1061.42391304348</v>
      </c>
      <c r="M203" s="40" t="n">
        <f aca="false">'Diagnosis &amp; Store Segmentation'!F133</f>
        <v>213.5059125846</v>
      </c>
      <c r="N203" s="40" t="n">
        <f aca="false">'Diagnosis &amp; Store Segmentation'!AG133*100*'Diagnosis &amp; Store Segmentation'!F133</f>
        <v>0</v>
      </c>
      <c r="O203" s="39" t="n">
        <f aca="false">'Diagnosis &amp; Store Segmentation'!BE133</f>
        <v>197.934782608696</v>
      </c>
      <c r="P203" s="40" t="n">
        <f aca="false">'Diagnosis &amp; Store Segmentation'!T133</f>
        <v>1.5</v>
      </c>
      <c r="Q203" s="40" t="n">
        <f aca="false">'Diagnosis &amp; Store Segmentation'!BH133</f>
        <v>42.89748</v>
      </c>
      <c r="R203" s="40" t="n">
        <f aca="false">'Diagnosis &amp; Store Segmentation'!BI133</f>
        <v>80.75</v>
      </c>
      <c r="S203" s="48" t="str">
        <f aca="false">'Diagnosis &amp; Store Segmentation'!BL133</f>
        <v>Optimise</v>
      </c>
      <c r="T203" s="40" t="n">
        <f aca="false">INDEX('Diagnosis &amp; Store Segmentation'!$O$106:$O$165,MATCH('Diagnosis &amp; Store Segmentation'!BC133,'Diagnosis &amp; Store Segmentation'!$A$106:$A$165,0))</f>
        <v>8.42212711307663</v>
      </c>
      <c r="U203" s="40" t="n">
        <f aca="false">IF(P203&lt;='Assumptions &amp; Data'!$C$74,MIN($C$13*L203,O203),0)</f>
        <v>197.934782608696</v>
      </c>
      <c r="V203" s="40" t="n">
        <f aca="false">-C203+U203*'Assumptions &amp; Data'!$C$63/'Assumptions &amp; Data'!$C$85*('Diagnosis &amp; Store Segmentation'!$B$12-'Assumptions &amp; Data'!$C$71)/100000</f>
        <v>-5.12870321736454</v>
      </c>
      <c r="W203" s="40" t="n">
        <f aca="false">IF(V203&gt;0,Q203/V203,99)</f>
        <v>99</v>
      </c>
      <c r="X203" s="40" t="n">
        <f aca="false">IF(AND(B203="Close",U203&gt;0,W203&lt;=$C$12,OR(S203&lt;&gt;"Close",C203&lt;T203)),1,0)</f>
        <v>0</v>
      </c>
      <c r="Y203" s="40" t="n">
        <f aca="false">(1-X203)*($C$6*(D203-$C$7*E203)+$C$8*F203+$C$9*G203+$C$10*H203+$C$11*I203)</f>
        <v>0.460665795528109</v>
      </c>
      <c r="Z203" s="40" t="n">
        <f aca="false">IF(X203=1,"closed",C203+Y203*(1-$C$14))</f>
        <v>8.85662702708929</v>
      </c>
      <c r="AA203" s="40" t="n">
        <f aca="false">IF(P203&lt;='Assumptions &amp; Data'!$C$74,MIN($D$13*L203,O203),0)</f>
        <v>197.934782608696</v>
      </c>
      <c r="AB203" s="40" t="n">
        <f aca="false">-C203+AA203*'Assumptions &amp; Data'!$C$63/'Assumptions &amp; Data'!$C$85*('Diagnosis &amp; Store Segmentation'!$B$12-'Assumptions &amp; Data'!$C$71)/100000</f>
        <v>-5.12870321736454</v>
      </c>
      <c r="AC203" s="40" t="n">
        <f aca="false">IF(AB203&gt;0,Q203/AB203,99)</f>
        <v>99</v>
      </c>
      <c r="AD203" s="40" t="n">
        <f aca="false">IF(AND(B203="Close",AA203&gt;0,AC203&lt;=$D$12,OR(S203&lt;&gt;"Close",C203&lt;T203)),1,0)</f>
        <v>0</v>
      </c>
      <c r="AE203" s="40" t="n">
        <f aca="false">(1-AD203)*($D$6*(D203-$D$7*E203)+$D$8*F203+$D$9*G203+$D$10*H203+$D$11*I203)</f>
        <v>0.755095035325332</v>
      </c>
      <c r="AF203" s="40" t="n">
        <f aca="false">IF(AD203=1,"closed",C203+AE203*(1-$D$14))</f>
        <v>9.14592855952385</v>
      </c>
      <c r="AG203" s="40" t="n">
        <f aca="false">IF(P203&lt;='Assumptions &amp; Data'!$C$74,MIN($E$13*L203,O203),0)</f>
        <v>197.934782608696</v>
      </c>
      <c r="AH203" s="40" t="n">
        <f aca="false">-C203+AG203*'Assumptions &amp; Data'!$C$63/'Assumptions &amp; Data'!$C$85*('Diagnosis &amp; Store Segmentation'!$B$12-'Assumptions &amp; Data'!$C$71)/100000</f>
        <v>-5.12870321736454</v>
      </c>
      <c r="AI203" s="40" t="n">
        <f aca="false">IF(AH203&gt;0,Q203/AH203,99)</f>
        <v>99</v>
      </c>
      <c r="AJ203" s="40" t="n">
        <f aca="false">IF(AND(B203="Close",AG203&gt;0,AI203&lt;=$E$12,OR(S203&lt;&gt;"Close",C203&lt;T203)),1,0)</f>
        <v>0</v>
      </c>
      <c r="AK203" s="40" t="n">
        <f aca="false">(1-AJ203)*($E$6*(D203-$E$7*E203)+$E$8*F203+$E$9*G203+$E$10*H203+$E$11*I203)</f>
        <v>1.01266696517325</v>
      </c>
      <c r="AL203" s="40" t="n">
        <f aca="false">IF(AJ203=1,"closed",C203+AK203*(1-$E$14))</f>
        <v>9.41327474393914</v>
      </c>
    </row>
    <row r="204" customFormat="false" ht="15" hidden="false" customHeight="false" outlineLevel="0" collapsed="false">
      <c r="A204" s="48" t="str">
        <f aca="false">'Diagnosis &amp; Store Segmentation'!A134</f>
        <v>DS029</v>
      </c>
      <c r="B204" s="48" t="str">
        <f aca="false">'Diagnosis &amp; Store Segmentation'!BK134</f>
        <v>Turn around</v>
      </c>
      <c r="C204" s="40" t="n">
        <f aca="false">'Diagnosis &amp; Store Segmentation'!O134</f>
        <v>-2.79696821633435</v>
      </c>
      <c r="D204" s="40" t="n">
        <f aca="false">'Diagnosis &amp; Store Segmentation'!AH134</f>
        <v>0.273864845758869</v>
      </c>
      <c r="E204" s="40" t="n">
        <f aca="false">'Diagnosis &amp; Store Segmentation'!AI134</f>
        <v>1.89753789385669</v>
      </c>
      <c r="F204" s="40" t="n">
        <f aca="false">'Diagnosis &amp; Store Segmentation'!AK134</f>
        <v>1.60299605625716</v>
      </c>
      <c r="G204" s="40" t="n">
        <f aca="false">'Diagnosis &amp; Store Segmentation'!AM134</f>
        <v>0.12153562587122</v>
      </c>
      <c r="H204" s="40" t="n">
        <f aca="false">'Diagnosis &amp; Store Segmentation'!AO134</f>
        <v>0.841654623064809</v>
      </c>
      <c r="I204" s="40" t="n">
        <f aca="false">'Diagnosis &amp; Store Segmentation'!AV134</f>
        <v>0</v>
      </c>
      <c r="J204" s="40" t="n">
        <f aca="false">'Diagnosis &amp; Store Segmentation'!AL134</f>
        <v>0.547457774194687</v>
      </c>
      <c r="K204" s="39" t="n">
        <f aca="false">'Diagnosis &amp; Store Segmentation'!AR134*'Diagnosis &amp; Store Segmentation'!AU134</f>
        <v>0</v>
      </c>
      <c r="L204" s="39" t="n">
        <f aca="false">'Diagnosis &amp; Store Segmentation'!E134</f>
        <v>589.79347826087</v>
      </c>
      <c r="M204" s="40" t="n">
        <f aca="false">'Diagnosis &amp; Store Segmentation'!F134</f>
        <v>113.5509373458</v>
      </c>
      <c r="N204" s="40" t="n">
        <f aca="false">'Diagnosis &amp; Store Segmentation'!AG134*100*'Diagnosis &amp; Store Segmentation'!F134</f>
        <v>25.8232843398955</v>
      </c>
      <c r="O204" s="39" t="n">
        <f aca="false">'Diagnosis &amp; Store Segmentation'!BE134</f>
        <v>0</v>
      </c>
      <c r="P204" s="40" t="n">
        <f aca="false">'Diagnosis &amp; Store Segmentation'!T134</f>
        <v>3.5</v>
      </c>
      <c r="Q204" s="40" t="n">
        <f aca="false">'Diagnosis &amp; Store Segmentation'!BH134</f>
        <v>87.1668</v>
      </c>
      <c r="R204" s="40" t="n">
        <f aca="false">'Diagnosis &amp; Store Segmentation'!BI134</f>
        <v>125.678571428571</v>
      </c>
      <c r="S204" s="48" t="str">
        <f aca="false">'Diagnosis &amp; Store Segmentation'!BL134</f>
        <v>Optimise</v>
      </c>
      <c r="T204" s="40" t="n">
        <f aca="false">INDEX('Diagnosis &amp; Store Segmentation'!$O$106:$O$165,MATCH('Diagnosis &amp; Store Segmentation'!BC134,'Diagnosis &amp; Store Segmentation'!$A$106:$A$165,0))</f>
        <v>18.9050233337262</v>
      </c>
      <c r="U204" s="40" t="n">
        <f aca="false">IF(P204&lt;='Assumptions &amp; Data'!$C$74,MIN($C$13*L204,O204),0)</f>
        <v>0</v>
      </c>
      <c r="V204" s="40" t="n">
        <f aca="false">-C204+U204*'Assumptions &amp; Data'!$C$63/'Assumptions &amp; Data'!$C$85*('Diagnosis &amp; Store Segmentation'!$B$12-'Assumptions &amp; Data'!$C$71)/100000</f>
        <v>2.79696821633435</v>
      </c>
      <c r="W204" s="40" t="n">
        <f aca="false">IF(V204&gt;0,Q204/V204,99)</f>
        <v>31.1647445583915</v>
      </c>
      <c r="X204" s="40" t="n">
        <f aca="false">IF(AND(B204="Close",U204&gt;0,W204&lt;=$C$12,OR(S204&lt;&gt;"Close",C204&lt;T204)),1,0)</f>
        <v>0</v>
      </c>
      <c r="Y204" s="40" t="n">
        <f aca="false">(1-X204)*($C$6*(D204-$C$7*E204)+$C$8*F204+$C$9*G204+$C$10*H204+$C$11*I204)</f>
        <v>1.06500994844631</v>
      </c>
      <c r="Z204" s="40" t="n">
        <f aca="false">IF(X204=1,"closed",C204+Y204*(1-$C$14))</f>
        <v>-1.85975946170161</v>
      </c>
      <c r="AA204" s="40" t="n">
        <f aca="false">IF(P204&lt;='Assumptions &amp; Data'!$C$74,MIN($D$13*L204,O204),0)</f>
        <v>0</v>
      </c>
      <c r="AB204" s="40" t="n">
        <f aca="false">-C204+AA204*'Assumptions &amp; Data'!$C$63/'Assumptions &amp; Data'!$C$85*('Diagnosis &amp; Store Segmentation'!$B$12-'Assumptions &amp; Data'!$C$71)/100000</f>
        <v>2.79696821633435</v>
      </c>
      <c r="AC204" s="40" t="n">
        <f aca="false">IF(AB204&gt;0,Q204/AB204,99)</f>
        <v>31.1647445583915</v>
      </c>
      <c r="AD204" s="40" t="n">
        <f aca="false">IF(AND(B204="Close",AA204&gt;0,AC204&lt;=$D$12,OR(S204&lt;&gt;"Close",C204&lt;T204)),1,0)</f>
        <v>0</v>
      </c>
      <c r="AE204" s="40" t="n">
        <f aca="false">(1-AD204)*($D$6*(D204-$D$7*E204)+$D$8*F204+$D$9*G204+$D$10*H204+$D$11*I204)</f>
        <v>1.63396894758365</v>
      </c>
      <c r="AF204" s="40" t="n">
        <f aca="false">IF(AD204=1,"closed",C204+AE204*(1-$D$14))</f>
        <v>-1.2937167845574</v>
      </c>
      <c r="AG204" s="40" t="n">
        <f aca="false">IF(P204&lt;='Assumptions &amp; Data'!$C$74,MIN($E$13*L204,O204),0)</f>
        <v>0</v>
      </c>
      <c r="AH204" s="40" t="n">
        <f aca="false">-C204+AG204*'Assumptions &amp; Data'!$C$63/'Assumptions &amp; Data'!$C$85*('Diagnosis &amp; Store Segmentation'!$B$12-'Assumptions &amp; Data'!$C$71)/100000</f>
        <v>2.79696821633435</v>
      </c>
      <c r="AI204" s="40" t="n">
        <f aca="false">IF(AH204&gt;0,Q204/AH204,99)</f>
        <v>31.1647445583915</v>
      </c>
      <c r="AJ204" s="40" t="n">
        <f aca="false">IF(AND(B204="Close",AG204&gt;0,AI204&lt;=$E$12,OR(S204&lt;&gt;"Close",C204&lt;T204)),1,0)</f>
        <v>0</v>
      </c>
      <c r="AK204" s="40" t="n">
        <f aca="false">(1-AJ204)*($E$6*(D204-$E$7*E204)+$E$8*F204+$E$9*G204+$E$10*H204+$E$11*I204)</f>
        <v>2.06196903501501</v>
      </c>
      <c r="AL204" s="40" t="n">
        <f aca="false">IF(AJ204=1,"closed",C204+AK204*(1-$E$14))</f>
        <v>-0.838097633070099</v>
      </c>
    </row>
    <row r="205" customFormat="false" ht="15" hidden="false" customHeight="false" outlineLevel="0" collapsed="false">
      <c r="A205" s="48" t="str">
        <f aca="false">'Diagnosis &amp; Store Segmentation'!A135</f>
        <v>DS030</v>
      </c>
      <c r="B205" s="48" t="str">
        <f aca="false">'Diagnosis &amp; Store Segmentation'!BK135</f>
        <v>Relocate or resize</v>
      </c>
      <c r="C205" s="40" t="n">
        <f aca="false">'Diagnosis &amp; Store Segmentation'!O135</f>
        <v>-11.4811936167105</v>
      </c>
      <c r="D205" s="40" t="n">
        <f aca="false">'Diagnosis &amp; Store Segmentation'!AH135</f>
        <v>1.02335711858104</v>
      </c>
      <c r="E205" s="40" t="n">
        <f aca="false">'Diagnosis &amp; Store Segmentation'!AI135</f>
        <v>5.51212678755023</v>
      </c>
      <c r="F205" s="40" t="n">
        <f aca="false">'Diagnosis &amp; Store Segmentation'!AK135</f>
        <v>0.516754046281583</v>
      </c>
      <c r="G205" s="40" t="n">
        <f aca="false">'Diagnosis &amp; Store Segmentation'!AM135</f>
        <v>2.37260203646501</v>
      </c>
      <c r="H205" s="40" t="n">
        <f aca="false">'Diagnosis &amp; Store Segmentation'!AO135</f>
        <v>0.649542362310082</v>
      </c>
      <c r="I205" s="40" t="n">
        <f aca="false">'Diagnosis &amp; Store Segmentation'!AV135</f>
        <v>0</v>
      </c>
      <c r="J205" s="40" t="n">
        <f aca="false">'Diagnosis &amp; Store Segmentation'!AL135</f>
        <v>10.6873965606532</v>
      </c>
      <c r="K205" s="39" t="n">
        <f aca="false">'Diagnosis &amp; Store Segmentation'!AR135*'Diagnosis &amp; Store Segmentation'!AU135</f>
        <v>0</v>
      </c>
      <c r="L205" s="39" t="n">
        <f aca="false">'Diagnosis &amp; Store Segmentation'!E135</f>
        <v>202.771739130435</v>
      </c>
      <c r="M205" s="40" t="n">
        <f aca="false">'Diagnosis &amp; Store Segmentation'!F135</f>
        <v>36.46212553</v>
      </c>
      <c r="N205" s="40" t="n">
        <f aca="false">'Diagnosis &amp; Store Segmentation'!AG135*100*'Diagnosis &amp; Store Segmentation'!F135</f>
        <v>94.0865316862542</v>
      </c>
      <c r="O205" s="39" t="n">
        <f aca="false">'Diagnosis &amp; Store Segmentation'!BE135</f>
        <v>945.021739130435</v>
      </c>
      <c r="P205" s="40" t="n">
        <f aca="false">'Diagnosis &amp; Store Segmentation'!T135</f>
        <v>1.8</v>
      </c>
      <c r="Q205" s="40" t="n">
        <f aca="false">'Diagnosis &amp; Store Segmentation'!BH135</f>
        <v>94.9968</v>
      </c>
      <c r="R205" s="40" t="n">
        <f aca="false">'Diagnosis &amp; Store Segmentation'!BI135</f>
        <v>161.904761904762</v>
      </c>
      <c r="S205" s="48" t="str">
        <f aca="false">'Diagnosis &amp; Store Segmentation'!BL135</f>
        <v>Relocate or resize</v>
      </c>
      <c r="T205" s="40" t="n">
        <f aca="false">INDEX('Diagnosis &amp; Store Segmentation'!$O$106:$O$165,MATCH('Diagnosis &amp; Store Segmentation'!BC135,'Diagnosis &amp; Store Segmentation'!$A$106:$A$165,0))</f>
        <v>-10.2737622453989</v>
      </c>
      <c r="U205" s="40" t="n">
        <f aca="false">IF(P205&lt;='Assumptions &amp; Data'!$C$74,MIN($C$13*L205,O205),0)</f>
        <v>91.2472826086957</v>
      </c>
      <c r="V205" s="40" t="n">
        <f aca="false">-C205+U205*'Assumptions &amp; Data'!$C$63/'Assumptions &amp; Data'!$C$85*('Diagnosis &amp; Store Segmentation'!$B$12-'Assumptions &amp; Data'!$C$71)/100000</f>
        <v>13.0128726456572</v>
      </c>
      <c r="W205" s="40" t="n">
        <f aca="false">IF(V205&gt;0,Q205/V205,99)</f>
        <v>7.30021745288529</v>
      </c>
      <c r="X205" s="40" t="n">
        <f aca="false">IF(AND(B205="Close",U205&gt;0,W205&lt;=$C$12,OR(S205&lt;&gt;"Close",C205&lt;T205)),1,0)</f>
        <v>0</v>
      </c>
      <c r="Y205" s="40" t="n">
        <f aca="false">(1-X205)*($C$6*(D205-$C$7*E205)+$C$8*F205+$C$9*G205+$C$10*H205+$C$11*I205)</f>
        <v>1.82094275017555</v>
      </c>
      <c r="Z205" s="40" t="n">
        <f aca="false">IF(X205=1,"closed",C205+Y205*(1-$C$14))</f>
        <v>-9.87876399655603</v>
      </c>
      <c r="AA205" s="40" t="n">
        <f aca="false">IF(P205&lt;='Assumptions &amp; Data'!$C$74,MIN($D$13*L205,O205),0)</f>
        <v>121.663043478261</v>
      </c>
      <c r="AB205" s="40" t="n">
        <f aca="false">-C205+AA205*'Assumptions &amp; Data'!$C$63/'Assumptions &amp; Data'!$C$85*('Diagnosis &amp; Store Segmentation'!$B$12-'Assumptions &amp; Data'!$C$71)/100000</f>
        <v>13.5234323219727</v>
      </c>
      <c r="AC205" s="40" t="n">
        <f aca="false">IF(AB205&gt;0,Q205/AB205,99)</f>
        <v>7.0246071957376</v>
      </c>
      <c r="AD205" s="40" t="n">
        <f aca="false">IF(AND(B205="Close",AA205&gt;0,AC205&lt;=$D$12,OR(S205&lt;&gt;"Close",C205&lt;T205)),1,0)</f>
        <v>0</v>
      </c>
      <c r="AE205" s="40" t="n">
        <f aca="false">(1-AD205)*($D$6*(D205-$D$7*E205)+$D$8*F205+$D$9*G205+$D$10*H205+$D$11*I205)</f>
        <v>2.73614992629687</v>
      </c>
      <c r="AF205" s="40" t="n">
        <f aca="false">IF(AD205=1,"closed",C205+AE205*(1-$D$14))</f>
        <v>-8.9639356845174</v>
      </c>
      <c r="AG205" s="40" t="n">
        <f aca="false">IF(P205&lt;='Assumptions &amp; Data'!$C$74,MIN($E$13*L205,O205),0)</f>
        <v>141.940217391304</v>
      </c>
      <c r="AH205" s="40" t="n">
        <f aca="false">-C205+AG205*'Assumptions &amp; Data'!$C$63/'Assumptions &amp; Data'!$C$85*('Diagnosis &amp; Store Segmentation'!$B$12-'Assumptions &amp; Data'!$C$71)/100000</f>
        <v>13.8638054395164</v>
      </c>
      <c r="AI205" s="40" t="n">
        <f aca="false">IF(AH205&gt;0,Q205/AH205,99)</f>
        <v>6.85214463045102</v>
      </c>
      <c r="AJ205" s="40" t="n">
        <f aca="false">IF(AND(B205="Close",AG205&gt;0,AI205&lt;=$E$12,OR(S205&lt;&gt;"Close",C205&lt;T205)),1,0)</f>
        <v>0</v>
      </c>
      <c r="AK205" s="40" t="n">
        <f aca="false">(1-AJ205)*($E$6*(D205-$E$7*E205)+$E$8*F205+$E$9*G205+$E$10*H205+$E$11*I205)</f>
        <v>3.42627599396945</v>
      </c>
      <c r="AL205" s="40" t="n">
        <f aca="false">IF(AJ205=1,"closed",C205+AK205*(1-$E$14))</f>
        <v>-8.22623142243954</v>
      </c>
    </row>
    <row r="206" customFormat="false" ht="15" hidden="false" customHeight="false" outlineLevel="0" collapsed="false">
      <c r="A206" s="48" t="str">
        <f aca="false">'Diagnosis &amp; Store Segmentation'!A136</f>
        <v>DS031</v>
      </c>
      <c r="B206" s="48" t="str">
        <f aca="false">'Diagnosis &amp; Store Segmentation'!BK136</f>
        <v>Scale</v>
      </c>
      <c r="C206" s="40" t="n">
        <f aca="false">'Diagnosis &amp; Store Segmentation'!O136</f>
        <v>10.1665348571198</v>
      </c>
      <c r="D206" s="40" t="n">
        <f aca="false">'Diagnosis &amp; Store Segmentation'!AH136</f>
        <v>0</v>
      </c>
      <c r="E206" s="40" t="n">
        <f aca="false">'Diagnosis &amp; Store Segmentation'!AI136</f>
        <v>0</v>
      </c>
      <c r="F206" s="40" t="n">
        <f aca="false">'Diagnosis &amp; Store Segmentation'!AK136</f>
        <v>0.312653303114254</v>
      </c>
      <c r="G206" s="40" t="n">
        <f aca="false">'Diagnosis &amp; Store Segmentation'!AM136</f>
        <v>0.0801119665515856</v>
      </c>
      <c r="H206" s="40" t="n">
        <f aca="false">'Diagnosis &amp; Store Segmentation'!AO136</f>
        <v>0</v>
      </c>
      <c r="I206" s="40" t="n">
        <f aca="false">'Diagnosis &amp; Store Segmentation'!AV136</f>
        <v>0</v>
      </c>
      <c r="J206" s="40" t="n">
        <f aca="false">'Diagnosis &amp; Store Segmentation'!AL136</f>
        <v>0.360864714196332</v>
      </c>
      <c r="K206" s="39" t="n">
        <f aca="false">'Diagnosis &amp; Store Segmentation'!AR136*'Diagnosis &amp; Store Segmentation'!AU136</f>
        <v>0</v>
      </c>
      <c r="L206" s="39" t="n">
        <f aca="false">'Diagnosis &amp; Store Segmentation'!E136</f>
        <v>1296.66304347826</v>
      </c>
      <c r="M206" s="40" t="n">
        <f aca="false">'Diagnosis &amp; Store Segmentation'!F136</f>
        <v>248.669147317867</v>
      </c>
      <c r="N206" s="40" t="n">
        <f aca="false">'Diagnosis &amp; Store Segmentation'!AG136*100*'Diagnosis &amp; Store Segmentation'!F136</f>
        <v>0</v>
      </c>
      <c r="O206" s="39" t="n">
        <f aca="false">'Diagnosis &amp; Store Segmentation'!BE136</f>
        <v>277.641304347826</v>
      </c>
      <c r="P206" s="40" t="n">
        <f aca="false">'Diagnosis &amp; Store Segmentation'!T136</f>
        <v>3.3</v>
      </c>
      <c r="Q206" s="40" t="n">
        <f aca="false">'Diagnosis &amp; Store Segmentation'!BH136</f>
        <v>65.8698</v>
      </c>
      <c r="R206" s="40" t="n">
        <f aca="false">'Diagnosis &amp; Store Segmentation'!BI136</f>
        <v>56.6666666666667</v>
      </c>
      <c r="S206" s="48" t="str">
        <f aca="false">'Diagnosis &amp; Store Segmentation'!BL136</f>
        <v>Scale</v>
      </c>
      <c r="T206" s="40" t="n">
        <f aca="false">INDEX('Diagnosis &amp; Store Segmentation'!$O$106:$O$165,MATCH('Diagnosis &amp; Store Segmentation'!BC136,'Diagnosis &amp; Store Segmentation'!$A$106:$A$165,0))</f>
        <v>10.3530222685673</v>
      </c>
      <c r="U206" s="40" t="n">
        <f aca="false">IF(P206&lt;='Assumptions &amp; Data'!$C$74,MIN($C$13*L206,O206),0)</f>
        <v>0</v>
      </c>
      <c r="V206" s="40" t="n">
        <f aca="false">-C206+U206*'Assumptions &amp; Data'!$C$63/'Assumptions &amp; Data'!$C$85*('Diagnosis &amp; Store Segmentation'!$B$12-'Assumptions &amp; Data'!$C$71)/100000</f>
        <v>-10.1665348571198</v>
      </c>
      <c r="W206" s="40" t="n">
        <f aca="false">IF(V206&gt;0,Q206/V206,99)</f>
        <v>99</v>
      </c>
      <c r="X206" s="40" t="n">
        <f aca="false">IF(AND(B206="Close",U206&gt;0,W206&lt;=$C$12,OR(S206&lt;&gt;"Close",C206&lt;T206)),1,0)</f>
        <v>0</v>
      </c>
      <c r="Y206" s="40" t="n">
        <f aca="false">(1-X206)*($C$6*(D206-$C$7*E206)+$C$8*F206+$C$9*G206+$C$10*H206+$C$11*I206)</f>
        <v>0.157106107866336</v>
      </c>
      <c r="Z206" s="40" t="n">
        <f aca="false">IF(X206=1,"closed",C206+Y206*(1-$C$14))</f>
        <v>10.3047882320421</v>
      </c>
      <c r="AA206" s="40" t="n">
        <f aca="false">IF(P206&lt;='Assumptions &amp; Data'!$C$74,MIN($D$13*L206,O206),0)</f>
        <v>0</v>
      </c>
      <c r="AB206" s="40" t="n">
        <f aca="false">-C206+AA206*'Assumptions &amp; Data'!$C$63/'Assumptions &amp; Data'!$C$85*('Diagnosis &amp; Store Segmentation'!$B$12-'Assumptions &amp; Data'!$C$71)/100000</f>
        <v>-10.1665348571198</v>
      </c>
      <c r="AC206" s="40" t="n">
        <f aca="false">IF(AB206&gt;0,Q206/AB206,99)</f>
        <v>99</v>
      </c>
      <c r="AD206" s="40" t="n">
        <f aca="false">IF(AND(B206="Close",AA206&gt;0,AC206&lt;=$D$12,OR(S206&lt;&gt;"Close",C206&lt;T206)),1,0)</f>
        <v>0</v>
      </c>
      <c r="AE206" s="40" t="n">
        <f aca="false">(1-AD206)*($D$6*(D206-$D$7*E206)+$D$8*F206+$D$9*G206+$D$10*H206+$D$11*I206)</f>
        <v>0.235659161799504</v>
      </c>
      <c r="AF206" s="40" t="n">
        <f aca="false">IF(AD206=1,"closed",C206+AE206*(1-$D$14))</f>
        <v>10.3833412859753</v>
      </c>
      <c r="AG206" s="40" t="n">
        <f aca="false">IF(P206&lt;='Assumptions &amp; Data'!$C$74,MIN($E$13*L206,O206),0)</f>
        <v>0</v>
      </c>
      <c r="AH206" s="40" t="n">
        <f aca="false">-C206+AG206*'Assumptions &amp; Data'!$C$63/'Assumptions &amp; Data'!$C$85*('Diagnosis &amp; Store Segmentation'!$B$12-'Assumptions &amp; Data'!$C$71)/100000</f>
        <v>-10.1665348571198</v>
      </c>
      <c r="AI206" s="40" t="n">
        <f aca="false">IF(AH206&gt;0,Q206/AH206,99)</f>
        <v>99</v>
      </c>
      <c r="AJ206" s="40" t="n">
        <f aca="false">IF(AND(B206="Close",AG206&gt;0,AI206&lt;=$E$12,OR(S206&lt;&gt;"Close",C206&lt;T206)),1,0)</f>
        <v>0</v>
      </c>
      <c r="AK206" s="40" t="n">
        <f aca="false">(1-AJ206)*($E$6*(D206-$E$7*E206)+$E$8*F206+$E$9*G206+$E$10*H206+$E$11*I206)</f>
        <v>0.29457395224938</v>
      </c>
      <c r="AL206" s="40" t="n">
        <f aca="false">IF(AJ206=1,"closed",C206+AK206*(1-$E$14))</f>
        <v>10.4463801117567</v>
      </c>
    </row>
    <row r="207" customFormat="false" ht="15" hidden="false" customHeight="false" outlineLevel="0" collapsed="false">
      <c r="A207" s="48" t="str">
        <f aca="false">'Diagnosis &amp; Store Segmentation'!A137</f>
        <v>DS032</v>
      </c>
      <c r="B207" s="48" t="str">
        <f aca="false">'Diagnosis &amp; Store Segmentation'!BK137</f>
        <v>Optimise</v>
      </c>
      <c r="C207" s="40" t="n">
        <f aca="false">'Diagnosis &amp; Store Segmentation'!O137</f>
        <v>8.42212711307663</v>
      </c>
      <c r="D207" s="40" t="n">
        <f aca="false">'Diagnosis &amp; Store Segmentation'!AH137</f>
        <v>3.87237793415442</v>
      </c>
      <c r="E207" s="40" t="n">
        <f aca="false">'Diagnosis &amp; Store Segmentation'!AI137</f>
        <v>36.3047588006365</v>
      </c>
      <c r="F207" s="40" t="n">
        <f aca="false">'Diagnosis &amp; Store Segmentation'!AK137</f>
        <v>3.72872430488478</v>
      </c>
      <c r="G207" s="40" t="n">
        <f aca="false">'Diagnosis &amp; Store Segmentation'!AM137</f>
        <v>0</v>
      </c>
      <c r="H207" s="40" t="n">
        <f aca="false">'Diagnosis &amp; Store Segmentation'!AO137</f>
        <v>0</v>
      </c>
      <c r="I207" s="40" t="n">
        <f aca="false">'Diagnosis &amp; Store Segmentation'!AV137</f>
        <v>1.9</v>
      </c>
      <c r="J207" s="40" t="n">
        <f aca="false">'Diagnosis &amp; Store Segmentation'!AL137</f>
        <v>0</v>
      </c>
      <c r="K207" s="39" t="n">
        <f aca="false">'Diagnosis &amp; Store Segmentation'!AR137*'Diagnosis &amp; Store Segmentation'!AU137</f>
        <v>0</v>
      </c>
      <c r="L207" s="39" t="n">
        <f aca="false">'Diagnosis &amp; Store Segmentation'!E137</f>
        <v>1422.0652173913</v>
      </c>
      <c r="M207" s="40" t="n">
        <f aca="false">'Diagnosis &amp; Store Segmentation'!F137</f>
        <v>286.655182937367</v>
      </c>
      <c r="N207" s="40" t="n">
        <f aca="false">'Diagnosis &amp; Store Segmentation'!AG137*100*'Diagnosis &amp; Store Segmentation'!F137</f>
        <v>361.136651523341</v>
      </c>
      <c r="O207" s="39" t="n">
        <f aca="false">'Diagnosis &amp; Store Segmentation'!BE137</f>
        <v>72.5760869565218</v>
      </c>
      <c r="P207" s="40" t="n">
        <f aca="false">'Diagnosis &amp; Store Segmentation'!T137</f>
        <v>1.5</v>
      </c>
      <c r="Q207" s="40" t="n">
        <f aca="false">'Diagnosis &amp; Store Segmentation'!BH137</f>
        <v>51.94332</v>
      </c>
      <c r="R207" s="40" t="n">
        <f aca="false">'Diagnosis &amp; Store Segmentation'!BI137</f>
        <v>107.261904761905</v>
      </c>
      <c r="S207" s="48" t="str">
        <f aca="false">'Diagnosis &amp; Store Segmentation'!BL137</f>
        <v>Optimise</v>
      </c>
      <c r="T207" s="40" t="n">
        <f aca="false">INDEX('Diagnosis &amp; Store Segmentation'!$O$106:$O$165,MATCH('Diagnosis &amp; Store Segmentation'!BC137,'Diagnosis &amp; Store Segmentation'!$A$106:$A$165,0))</f>
        <v>8.45124112702455</v>
      </c>
      <c r="U207" s="40" t="n">
        <f aca="false">IF(P207&lt;='Assumptions &amp; Data'!$C$74,MIN($C$13*L207,O207),0)</f>
        <v>72.5760869565218</v>
      </c>
      <c r="V207" s="40" t="n">
        <f aca="false">-C207+U207*'Assumptions &amp; Data'!$C$63/'Assumptions &amp; Data'!$C$85*('Diagnosis &amp; Store Segmentation'!$B$12-'Assumptions &amp; Data'!$C$71)/100000</f>
        <v>-7.20386321286796</v>
      </c>
      <c r="W207" s="40" t="n">
        <f aca="false">IF(V207&gt;0,Q207/V207,99)</f>
        <v>99</v>
      </c>
      <c r="X207" s="40" t="n">
        <f aca="false">IF(AND(B207="Close",U207&gt;0,W207&lt;=$C$12,OR(S207&lt;&gt;"Close",C207&lt;T207)),1,0)</f>
        <v>0</v>
      </c>
      <c r="Y207" s="40" t="n">
        <f aca="false">(1-X207)*($C$6*(D207-$C$7*E207)+$C$8*F207+$C$9*G207+$C$10*H207+$C$11*I207)</f>
        <v>3.72539299802635</v>
      </c>
      <c r="Z207" s="40" t="n">
        <f aca="false">IF(X207=1,"closed",C207+Y207*(1-$C$14))</f>
        <v>11.7004729513398</v>
      </c>
      <c r="AA207" s="40" t="n">
        <f aca="false">IF(P207&lt;='Assumptions &amp; Data'!$C$74,MIN($D$13*L207,O207),0)</f>
        <v>72.5760869565218</v>
      </c>
      <c r="AB207" s="40" t="n">
        <f aca="false">-C207+AA207*'Assumptions &amp; Data'!$C$63/'Assumptions &amp; Data'!$C$85*('Diagnosis &amp; Store Segmentation'!$B$12-'Assumptions &amp; Data'!$C$71)/100000</f>
        <v>-7.20386321286796</v>
      </c>
      <c r="AC207" s="40" t="n">
        <f aca="false">IF(AB207&gt;0,Q207/AB207,99)</f>
        <v>99</v>
      </c>
      <c r="AD207" s="40" t="n">
        <f aca="false">IF(AND(B207="Close",AA207&gt;0,AC207&lt;=$D$12,OR(S207&lt;&gt;"Close",C207&lt;T207)),1,0)</f>
        <v>0</v>
      </c>
      <c r="AE207" s="40" t="n">
        <f aca="false">(1-AD207)*($D$6*(D207-$D$7*E207)+$D$8*F207+$D$9*G207+$D$10*H207+$D$11*I207)</f>
        <v>5.6437658252345</v>
      </c>
      <c r="AF207" s="40" t="n">
        <f aca="false">IF(AD207=1,"closed",C207+AE207*(1-$D$14))</f>
        <v>13.6143916722924</v>
      </c>
      <c r="AG207" s="40" t="n">
        <f aca="false">IF(P207&lt;='Assumptions &amp; Data'!$C$74,MIN($E$13*L207,O207),0)</f>
        <v>72.5760869565218</v>
      </c>
      <c r="AH207" s="40" t="n">
        <f aca="false">-C207+AG207*'Assumptions &amp; Data'!$C$63/'Assumptions &amp; Data'!$C$85*('Diagnosis &amp; Store Segmentation'!$B$12-'Assumptions &amp; Data'!$C$71)/100000</f>
        <v>-7.20386321286796</v>
      </c>
      <c r="AI207" s="40" t="n">
        <f aca="false">IF(AH207&gt;0,Q207/AH207,99)</f>
        <v>99</v>
      </c>
      <c r="AJ207" s="40" t="n">
        <f aca="false">IF(AND(B207="Close",AG207&gt;0,AI207&lt;=$E$12,OR(S207&lt;&gt;"Close",C207&lt;T207)),1,0)</f>
        <v>0</v>
      </c>
      <c r="AK207" s="40" t="n">
        <f aca="false">(1-AJ207)*($E$6*(D207-$E$7*E207)+$E$8*F207+$E$9*G207+$E$10*H207+$E$11*I207)</f>
        <v>7.20205115783105</v>
      </c>
      <c r="AL207" s="40" t="n">
        <f aca="false">IF(AJ207=1,"closed",C207+AK207*(1-$E$14))</f>
        <v>15.2640757130161</v>
      </c>
    </row>
    <row r="208" customFormat="false" ht="15" hidden="false" customHeight="false" outlineLevel="0" collapsed="false">
      <c r="A208" s="48" t="str">
        <f aca="false">'Diagnosis &amp; Store Segmentation'!A138</f>
        <v>DS033</v>
      </c>
      <c r="B208" s="48" t="str">
        <f aca="false">'Diagnosis &amp; Store Segmentation'!BK138</f>
        <v>Optimise</v>
      </c>
      <c r="C208" s="40" t="n">
        <f aca="false">'Diagnosis &amp; Store Segmentation'!O138</f>
        <v>7.54114791368287</v>
      </c>
      <c r="D208" s="40" t="n">
        <f aca="false">'Diagnosis &amp; Store Segmentation'!AH138</f>
        <v>0</v>
      </c>
      <c r="E208" s="40" t="n">
        <f aca="false">'Diagnosis &amp; Store Segmentation'!AI138</f>
        <v>0</v>
      </c>
      <c r="F208" s="40" t="n">
        <f aca="false">'Diagnosis &amp; Store Segmentation'!AK138</f>
        <v>0.482454663646563</v>
      </c>
      <c r="G208" s="40" t="n">
        <f aca="false">'Diagnosis &amp; Store Segmentation'!AM138</f>
        <v>0</v>
      </c>
      <c r="H208" s="40" t="n">
        <f aca="false">'Diagnosis &amp; Store Segmentation'!AO138</f>
        <v>1.80490737264266</v>
      </c>
      <c r="I208" s="40" t="n">
        <f aca="false">'Diagnosis &amp; Store Segmentation'!AV138</f>
        <v>0.97183960422973</v>
      </c>
      <c r="J208" s="40" t="n">
        <f aca="false">'Diagnosis &amp; Store Segmentation'!AL138</f>
        <v>0</v>
      </c>
      <c r="K208" s="39" t="n">
        <f aca="false">'Diagnosis &amp; Store Segmentation'!AR138*'Diagnosis &amp; Store Segmentation'!AU138</f>
        <v>952.783925715422</v>
      </c>
      <c r="L208" s="39" t="n">
        <f aca="false">'Diagnosis &amp; Store Segmentation'!E138</f>
        <v>923.184782608696</v>
      </c>
      <c r="M208" s="40" t="n">
        <f aca="false">'Diagnosis &amp; Store Segmentation'!F138</f>
        <v>197.710853953467</v>
      </c>
      <c r="N208" s="40" t="n">
        <f aca="false">'Diagnosis &amp; Store Segmentation'!AG138*100*'Diagnosis &amp; Store Segmentation'!F138</f>
        <v>0</v>
      </c>
      <c r="O208" s="39" t="n">
        <f aca="false">'Diagnosis &amp; Store Segmentation'!BE138</f>
        <v>1257.94565217391</v>
      </c>
      <c r="P208" s="40" t="n">
        <f aca="false">'Diagnosis &amp; Store Segmentation'!T138</f>
        <v>2.9</v>
      </c>
      <c r="Q208" s="40" t="n">
        <f aca="false">'Diagnosis &amp; Store Segmentation'!BH138</f>
        <v>36.66978</v>
      </c>
      <c r="R208" s="40" t="n">
        <f aca="false">'Diagnosis &amp; Store Segmentation'!BI138</f>
        <v>80.1428571428572</v>
      </c>
      <c r="S208" s="48" t="str">
        <f aca="false">'Diagnosis &amp; Store Segmentation'!BL138</f>
        <v>Relocate or resize</v>
      </c>
      <c r="T208" s="40" t="n">
        <f aca="false">INDEX('Diagnosis &amp; Store Segmentation'!$O$106:$O$165,MATCH('Diagnosis &amp; Store Segmentation'!BC138,'Diagnosis &amp; Store Segmentation'!$A$106:$A$165,0))</f>
        <v>-9.46896463540397</v>
      </c>
      <c r="U208" s="40" t="n">
        <f aca="false">IF(P208&lt;='Assumptions &amp; Data'!$C$74,MIN($C$13*L208,O208),0)</f>
        <v>0</v>
      </c>
      <c r="V208" s="40" t="n">
        <f aca="false">-C208+U208*'Assumptions &amp; Data'!$C$63/'Assumptions &amp; Data'!$C$85*('Diagnosis &amp; Store Segmentation'!$B$12-'Assumptions &amp; Data'!$C$71)/100000</f>
        <v>-7.54114791368287</v>
      </c>
      <c r="W208" s="40" t="n">
        <f aca="false">IF(V208&gt;0,Q208/V208,99)</f>
        <v>99</v>
      </c>
      <c r="X208" s="40" t="n">
        <f aca="false">IF(AND(B208="Close",U208&gt;0,W208&lt;=$C$12,OR(S208&lt;&gt;"Close",C208&lt;T208)),1,0)</f>
        <v>0</v>
      </c>
      <c r="Y208" s="40" t="n">
        <f aca="false">(1-X208)*($C$6*(D208-$C$7*E208)+$C$8*F208+$C$9*G208+$C$10*H208+$C$11*I208)</f>
        <v>1.02600595852034</v>
      </c>
      <c r="Z208" s="40" t="n">
        <f aca="false">IF(X208=1,"closed",C208+Y208*(1-$C$14))</f>
        <v>8.44403315718077</v>
      </c>
      <c r="AA208" s="40" t="n">
        <f aca="false">IF(P208&lt;='Assumptions &amp; Data'!$C$74,MIN($D$13*L208,O208),0)</f>
        <v>0</v>
      </c>
      <c r="AB208" s="40" t="n">
        <f aca="false">-C208+AA208*'Assumptions &amp; Data'!$C$63/'Assumptions &amp; Data'!$C$85*('Diagnosis &amp; Store Segmentation'!$B$12-'Assumptions &amp; Data'!$C$71)/100000</f>
        <v>-7.54114791368287</v>
      </c>
      <c r="AC208" s="40" t="n">
        <f aca="false">IF(AB208&gt;0,Q208/AB208,99)</f>
        <v>99</v>
      </c>
      <c r="AD208" s="40" t="n">
        <f aca="false">IF(AND(B208="Close",AA208&gt;0,AC208&lt;=$D$12,OR(S208&lt;&gt;"Close",C208&lt;T208)),1,0)</f>
        <v>0</v>
      </c>
      <c r="AE208" s="40" t="n">
        <f aca="false">(1-AD208)*($D$6*(D208-$D$7*E208)+$D$8*F208+$D$9*G208+$D$10*H208+$D$11*I208)</f>
        <v>1.67784628662413</v>
      </c>
      <c r="AF208" s="40" t="n">
        <f aca="false">IF(AD208=1,"closed",C208+AE208*(1-$D$14))</f>
        <v>9.08476649737707</v>
      </c>
      <c r="AG208" s="40" t="n">
        <f aca="false">IF(P208&lt;='Assumptions &amp; Data'!$C$74,MIN($E$13*L208,O208),0)</f>
        <v>0</v>
      </c>
      <c r="AH208" s="40" t="n">
        <f aca="false">-C208+AG208*'Assumptions &amp; Data'!$C$63/'Assumptions &amp; Data'!$C$85*('Diagnosis &amp; Store Segmentation'!$B$12-'Assumptions &amp; Data'!$C$71)/100000</f>
        <v>-7.54114791368287</v>
      </c>
      <c r="AI208" s="40" t="n">
        <f aca="false">IF(AH208&gt;0,Q208/AH208,99)</f>
        <v>99</v>
      </c>
      <c r="AJ208" s="40" t="n">
        <f aca="false">IF(AND(B208="Close",AG208&gt;0,AI208&lt;=$E$12,OR(S208&lt;&gt;"Close",C208&lt;T208)),1,0)</f>
        <v>0</v>
      </c>
      <c r="AK208" s="40" t="n">
        <f aca="false">(1-AJ208)*($E$6*(D208-$E$7*E208)+$E$8*F208+$E$9*G208+$E$10*H208+$E$11*I208)</f>
        <v>2.21531851291346</v>
      </c>
      <c r="AL208" s="40" t="n">
        <f aca="false">IF(AJ208=1,"closed",C208+AK208*(1-$E$14))</f>
        <v>9.64570050095066</v>
      </c>
    </row>
    <row r="209" customFormat="false" ht="15" hidden="false" customHeight="false" outlineLevel="0" collapsed="false">
      <c r="A209" s="48" t="str">
        <f aca="false">'Diagnosis &amp; Store Segmentation'!A139</f>
        <v>DS034</v>
      </c>
      <c r="B209" s="48" t="str">
        <f aca="false">'Diagnosis &amp; Store Segmentation'!BK139</f>
        <v>Scale</v>
      </c>
      <c r="C209" s="40" t="n">
        <f aca="false">'Diagnosis &amp; Store Segmentation'!O139</f>
        <v>10.3530222685673</v>
      </c>
      <c r="D209" s="40" t="n">
        <f aca="false">'Diagnosis &amp; Store Segmentation'!AH139</f>
        <v>0</v>
      </c>
      <c r="E209" s="40" t="n">
        <f aca="false">'Diagnosis &amp; Store Segmentation'!AI139</f>
        <v>0</v>
      </c>
      <c r="F209" s="40" t="n">
        <f aca="false">'Diagnosis &amp; Store Segmentation'!AK139</f>
        <v>0</v>
      </c>
      <c r="G209" s="40" t="n">
        <f aca="false">'Diagnosis &amp; Store Segmentation'!AM139</f>
        <v>0</v>
      </c>
      <c r="H209" s="40" t="n">
        <f aca="false">'Diagnosis &amp; Store Segmentation'!AO139</f>
        <v>0.359991855735123</v>
      </c>
      <c r="I209" s="40" t="n">
        <f aca="false">'Diagnosis &amp; Store Segmentation'!AV139</f>
        <v>1.26</v>
      </c>
      <c r="J209" s="40" t="n">
        <f aca="false">'Diagnosis &amp; Store Segmentation'!AL139</f>
        <v>0</v>
      </c>
      <c r="K209" s="39" t="n">
        <f aca="false">'Diagnosis &amp; Store Segmentation'!AR139*'Diagnosis &amp; Store Segmentation'!AU139</f>
        <v>0</v>
      </c>
      <c r="L209" s="39" t="n">
        <f aca="false">'Diagnosis &amp; Store Segmentation'!E139</f>
        <v>1180.35869565217</v>
      </c>
      <c r="M209" s="40" t="n">
        <f aca="false">'Diagnosis &amp; Store Segmentation'!F139</f>
        <v>221.602926280667</v>
      </c>
      <c r="N209" s="40" t="n">
        <f aca="false">'Diagnosis &amp; Store Segmentation'!AG139*100*'Diagnosis &amp; Store Segmentation'!F139</f>
        <v>0</v>
      </c>
      <c r="O209" s="39" t="n">
        <f aca="false">'Diagnosis &amp; Store Segmentation'!BE139</f>
        <v>0</v>
      </c>
      <c r="P209" s="40" t="n">
        <f aca="false">'Diagnosis &amp; Store Segmentation'!T139</f>
        <v>3.3</v>
      </c>
      <c r="Q209" s="40" t="n">
        <f aca="false">'Diagnosis &amp; Store Segmentation'!BH139</f>
        <v>27.0666</v>
      </c>
      <c r="R209" s="40" t="n">
        <f aca="false">'Diagnosis &amp; Store Segmentation'!BI139</f>
        <v>65.5714285714286</v>
      </c>
      <c r="S209" s="48" t="str">
        <f aca="false">'Diagnosis &amp; Store Segmentation'!BL139</f>
        <v>Scale</v>
      </c>
      <c r="T209" s="40" t="n">
        <f aca="false">INDEX('Diagnosis &amp; Store Segmentation'!$O$106:$O$165,MATCH('Diagnosis &amp; Store Segmentation'!BC139,'Diagnosis &amp; Store Segmentation'!$A$106:$A$165,0))</f>
        <v>10.1665348571198</v>
      </c>
      <c r="U209" s="40" t="n">
        <f aca="false">IF(P209&lt;='Assumptions &amp; Data'!$C$74,MIN($C$13*L209,O209),0)</f>
        <v>0</v>
      </c>
      <c r="V209" s="40" t="n">
        <f aca="false">-C209+U209*'Assumptions &amp; Data'!$C$63/'Assumptions &amp; Data'!$C$85*('Diagnosis &amp; Store Segmentation'!$B$12-'Assumptions &amp; Data'!$C$71)/100000</f>
        <v>-10.3530222685673</v>
      </c>
      <c r="W209" s="40" t="n">
        <f aca="false">IF(V209&gt;0,Q209/V209,99)</f>
        <v>99</v>
      </c>
      <c r="X209" s="40" t="n">
        <f aca="false">IF(AND(B209="Close",U209&gt;0,W209&lt;=$C$12,OR(S209&lt;&gt;"Close",C209&lt;T209)),1,0)</f>
        <v>0</v>
      </c>
      <c r="Y209" s="40" t="n">
        <f aca="false">(1-X209)*($C$6*(D209-$C$7*E209)+$C$8*F209+$C$9*G209+$C$10*H209+$C$11*I209)</f>
        <v>0.485997556720537</v>
      </c>
      <c r="Z209" s="40" t="n">
        <f aca="false">IF(X209=1,"closed",C209+Y209*(1-$C$14))</f>
        <v>10.7807001184814</v>
      </c>
      <c r="AA209" s="40" t="n">
        <f aca="false">IF(P209&lt;='Assumptions &amp; Data'!$C$74,MIN($D$13*L209,O209),0)</f>
        <v>0</v>
      </c>
      <c r="AB209" s="40" t="n">
        <f aca="false">-C209+AA209*'Assumptions &amp; Data'!$C$63/'Assumptions &amp; Data'!$C$85*('Diagnosis &amp; Store Segmentation'!$B$12-'Assumptions &amp; Data'!$C$71)/100000</f>
        <v>-10.3530222685673</v>
      </c>
      <c r="AC209" s="40" t="n">
        <f aca="false">IF(AB209&gt;0,Q209/AB209,99)</f>
        <v>99</v>
      </c>
      <c r="AD209" s="40" t="n">
        <f aca="false">IF(AND(B209="Close",AA209&gt;0,AC209&lt;=$D$12,OR(S209&lt;&gt;"Close",C209&lt;T209)),1,0)</f>
        <v>0</v>
      </c>
      <c r="AE209" s="40" t="n">
        <f aca="false">(1-AD209)*($D$6*(D209-$D$7*E209)+$D$8*F209+$D$9*G209+$D$10*H209+$D$11*I209)</f>
        <v>0.809995927867561</v>
      </c>
      <c r="AF209" s="40" t="n">
        <f aca="false">IF(AD209=1,"closed",C209+AE209*(1-$D$14))</f>
        <v>11.0982185222055</v>
      </c>
      <c r="AG209" s="40" t="n">
        <f aca="false">IF(P209&lt;='Assumptions &amp; Data'!$C$74,MIN($E$13*L209,O209),0)</f>
        <v>0</v>
      </c>
      <c r="AH209" s="40" t="n">
        <f aca="false">-C209+AG209*'Assumptions &amp; Data'!$C$63/'Assumptions &amp; Data'!$C$85*('Diagnosis &amp; Store Segmentation'!$B$12-'Assumptions &amp; Data'!$C$71)/100000</f>
        <v>-10.3530222685673</v>
      </c>
      <c r="AI209" s="40" t="n">
        <f aca="false">IF(AH209&gt;0,Q209/AH209,99)</f>
        <v>99</v>
      </c>
      <c r="AJ209" s="40" t="n">
        <f aca="false">IF(AND(B209="Close",AG209&gt;0,AI209&lt;=$E$12,OR(S209&lt;&gt;"Close",C209&lt;T209)),1,0)</f>
        <v>0</v>
      </c>
      <c r="AK209" s="40" t="n">
        <f aca="false">(1-AJ209)*($E$6*(D209-$E$7*E209)+$E$8*F209+$E$9*G209+$E$10*H209+$E$11*I209)</f>
        <v>1.11599470622783</v>
      </c>
      <c r="AL209" s="40" t="n">
        <f aca="false">IF(AJ209=1,"closed",C209+AK209*(1-$E$14))</f>
        <v>11.4132172394837</v>
      </c>
    </row>
    <row r="210" customFormat="false" ht="15" hidden="false" customHeight="false" outlineLevel="0" collapsed="false">
      <c r="A210" s="48" t="str">
        <f aca="false">'Diagnosis &amp; Store Segmentation'!A140</f>
        <v>DS035</v>
      </c>
      <c r="B210" s="48" t="str">
        <f aca="false">'Diagnosis &amp; Store Segmentation'!BK140</f>
        <v>Scale</v>
      </c>
      <c r="C210" s="40" t="n">
        <f aca="false">'Diagnosis &amp; Store Segmentation'!O140</f>
        <v>6.91543311524085</v>
      </c>
      <c r="D210" s="40" t="n">
        <f aca="false">'Diagnosis &amp; Store Segmentation'!AH140</f>
        <v>0</v>
      </c>
      <c r="E210" s="40" t="n">
        <f aca="false">'Diagnosis &amp; Store Segmentation'!AI140</f>
        <v>0</v>
      </c>
      <c r="F210" s="40" t="n">
        <f aca="false">'Diagnosis &amp; Store Segmentation'!AK140</f>
        <v>0.473733174179119</v>
      </c>
      <c r="G210" s="40" t="n">
        <f aca="false">'Diagnosis &amp; Store Segmentation'!AM140</f>
        <v>0</v>
      </c>
      <c r="H210" s="40" t="n">
        <f aca="false">'Diagnosis &amp; Store Segmentation'!AO140</f>
        <v>0.628140891956823</v>
      </c>
      <c r="I210" s="40" t="n">
        <f aca="false">'Diagnosis &amp; Store Segmentation'!AV140</f>
        <v>1.02649860762283</v>
      </c>
      <c r="J210" s="40" t="n">
        <f aca="false">'Diagnosis &amp; Store Segmentation'!AL140</f>
        <v>0</v>
      </c>
      <c r="K210" s="39" t="n">
        <f aca="false">'Diagnosis &amp; Store Segmentation'!AR140*'Diagnosis &amp; Store Segmentation'!AU140</f>
        <v>968.394912851723</v>
      </c>
      <c r="L210" s="39" t="n">
        <f aca="false">'Diagnosis &amp; Store Segmentation'!E140</f>
        <v>1049.25</v>
      </c>
      <c r="M210" s="40" t="n">
        <f aca="false">'Diagnosis &amp; Store Segmentation'!F140</f>
        <v>214.9681904088</v>
      </c>
      <c r="N210" s="40" t="n">
        <f aca="false">'Diagnosis &amp; Store Segmentation'!AG140*100*'Diagnosis &amp; Store Segmentation'!F140</f>
        <v>0</v>
      </c>
      <c r="O210" s="39" t="n">
        <f aca="false">'Diagnosis &amp; Store Segmentation'!BE140</f>
        <v>0</v>
      </c>
      <c r="P210" s="40" t="n">
        <f aca="false">'Diagnosis &amp; Store Segmentation'!T140</f>
        <v>2.8</v>
      </c>
      <c r="Q210" s="40" t="n">
        <f aca="false">'Diagnosis &amp; Store Segmentation'!BH140</f>
        <v>11.06184</v>
      </c>
      <c r="R210" s="40" t="n">
        <f aca="false">'Diagnosis &amp; Store Segmentation'!BI140</f>
        <v>139.642857142857</v>
      </c>
      <c r="S210" s="48" t="str">
        <f aca="false">'Diagnosis &amp; Store Segmentation'!BL140</f>
        <v>Optimise</v>
      </c>
      <c r="T210" s="40" t="n">
        <f aca="false">INDEX('Diagnosis &amp; Store Segmentation'!$O$106:$O$165,MATCH('Diagnosis &amp; Store Segmentation'!BC140,'Diagnosis &amp; Store Segmentation'!$A$106:$A$165,0))</f>
        <v>16.2614874922589</v>
      </c>
      <c r="U210" s="40" t="n">
        <f aca="false">IF(P210&lt;='Assumptions &amp; Data'!$C$74,MIN($C$13*L210,O210),0)</f>
        <v>0</v>
      </c>
      <c r="V210" s="40" t="n">
        <f aca="false">-C210+U210*'Assumptions &amp; Data'!$C$63/'Assumptions &amp; Data'!$C$85*('Diagnosis &amp; Store Segmentation'!$B$12-'Assumptions &amp; Data'!$C$71)/100000</f>
        <v>-6.91543311524085</v>
      </c>
      <c r="W210" s="40" t="n">
        <f aca="false">IF(V210&gt;0,Q210/V210,99)</f>
        <v>99</v>
      </c>
      <c r="X210" s="40" t="n">
        <f aca="false">IF(AND(B210="Close",U210&gt;0,W210&lt;=$C$12,OR(S210&lt;&gt;"Close",C210&lt;T210)),1,0)</f>
        <v>0</v>
      </c>
      <c r="Y210" s="40" t="n">
        <f aca="false">(1-X210)*($C$6*(D210-$C$7*E210)+$C$8*F210+$C$9*G210+$C$10*H210+$C$11*I210)</f>
        <v>0.685885119545542</v>
      </c>
      <c r="Z210" s="40" t="n">
        <f aca="false">IF(X210=1,"closed",C210+Y210*(1-$C$14))</f>
        <v>7.51901202044093</v>
      </c>
      <c r="AA210" s="40" t="n">
        <f aca="false">IF(P210&lt;='Assumptions &amp; Data'!$C$74,MIN($D$13*L210,O210),0)</f>
        <v>0</v>
      </c>
      <c r="AB210" s="40" t="n">
        <f aca="false">-C210+AA210*'Assumptions &amp; Data'!$C$63/'Assumptions &amp; Data'!$C$85*('Diagnosis &amp; Store Segmentation'!$B$12-'Assumptions &amp; Data'!$C$71)/100000</f>
        <v>-6.91543311524085</v>
      </c>
      <c r="AC210" s="40" t="n">
        <f aca="false">IF(AB210&gt;0,Q210/AB210,99)</f>
        <v>99</v>
      </c>
      <c r="AD210" s="40" t="n">
        <f aca="false">IF(AND(B210="Close",AA210&gt;0,AC210&lt;=$D$12,OR(S210&lt;&gt;"Close",C210&lt;T210)),1,0)</f>
        <v>0</v>
      </c>
      <c r="AE210" s="40" t="n">
        <f aca="false">(1-AD210)*($D$6*(D210-$D$7*E210)+$D$8*F210+$D$9*G210+$D$10*H210+$D$11*I210)</f>
        <v>1.1115596542973</v>
      </c>
      <c r="AF210" s="40" t="n">
        <f aca="false">IF(AD210=1,"closed",C210+AE210*(1-$D$14))</f>
        <v>7.93806799719437</v>
      </c>
      <c r="AG210" s="40" t="n">
        <f aca="false">IF(P210&lt;='Assumptions &amp; Data'!$C$74,MIN($E$13*L210,O210),0)</f>
        <v>0</v>
      </c>
      <c r="AH210" s="40" t="n">
        <f aca="false">-C210+AG210*'Assumptions &amp; Data'!$C$63/'Assumptions &amp; Data'!$C$85*('Diagnosis &amp; Store Segmentation'!$B$12-'Assumptions &amp; Data'!$C$71)/100000</f>
        <v>-6.91543311524085</v>
      </c>
      <c r="AI210" s="40" t="n">
        <f aca="false">IF(AH210&gt;0,Q210/AH210,99)</f>
        <v>99</v>
      </c>
      <c r="AJ210" s="40" t="n">
        <f aca="false">IF(AND(B210="Close",AG210&gt;0,AI210&lt;=$E$12,OR(S210&lt;&gt;"Close",C210&lt;T210)),1,0)</f>
        <v>0</v>
      </c>
      <c r="AK210" s="40" t="n">
        <f aca="false">(1-AJ210)*($E$6*(D210-$E$7*E210)+$E$8*F210+$E$9*G210+$E$10*H210+$E$11*I210)</f>
        <v>1.48214048574225</v>
      </c>
      <c r="AL210" s="40" t="n">
        <f aca="false">IF(AJ210=1,"closed",C210+AK210*(1-$E$14))</f>
        <v>8.32346657669599</v>
      </c>
    </row>
    <row r="211" customFormat="false" ht="15" hidden="false" customHeight="false" outlineLevel="0" collapsed="false">
      <c r="A211" s="48" t="str">
        <f aca="false">'Diagnosis &amp; Store Segmentation'!A141</f>
        <v>DS036</v>
      </c>
      <c r="B211" s="48" t="str">
        <f aca="false">'Diagnosis &amp; Store Segmentation'!BK141</f>
        <v>Optimise</v>
      </c>
      <c r="C211" s="40" t="n">
        <f aca="false">'Diagnosis &amp; Store Segmentation'!O141</f>
        <v>18.9050233337262</v>
      </c>
      <c r="D211" s="40" t="n">
        <f aca="false">'Diagnosis &amp; Store Segmentation'!AH141</f>
        <v>0</v>
      </c>
      <c r="E211" s="40" t="n">
        <f aca="false">'Diagnosis &amp; Store Segmentation'!AI141</f>
        <v>0</v>
      </c>
      <c r="F211" s="40" t="n">
        <f aca="false">'Diagnosis &amp; Store Segmentation'!AK141</f>
        <v>2.55108396192015</v>
      </c>
      <c r="G211" s="40" t="n">
        <f aca="false">'Diagnosis &amp; Store Segmentation'!AM141</f>
        <v>0</v>
      </c>
      <c r="H211" s="40" t="n">
        <f aca="false">'Diagnosis &amp; Store Segmentation'!AO141</f>
        <v>0</v>
      </c>
      <c r="I211" s="40" t="n">
        <f aca="false">'Diagnosis &amp; Store Segmentation'!AV141</f>
        <v>0</v>
      </c>
      <c r="J211" s="40" t="n">
        <f aca="false">'Diagnosis &amp; Store Segmentation'!AL141</f>
        <v>0</v>
      </c>
      <c r="K211" s="39" t="n">
        <f aca="false">'Diagnosis &amp; Store Segmentation'!AR141*'Diagnosis &amp; Store Segmentation'!AU141</f>
        <v>0</v>
      </c>
      <c r="L211" s="39" t="n">
        <f aca="false">'Diagnosis &amp; Store Segmentation'!E141</f>
        <v>1717.98913043478</v>
      </c>
      <c r="M211" s="40" t="n">
        <f aca="false">'Diagnosis &amp; Store Segmentation'!F141</f>
        <v>344.6478202892</v>
      </c>
      <c r="N211" s="40" t="n">
        <f aca="false">'Diagnosis &amp; Store Segmentation'!AG141*100*'Diagnosis &amp; Store Segmentation'!F141</f>
        <v>0</v>
      </c>
      <c r="O211" s="39" t="n">
        <f aca="false">'Diagnosis &amp; Store Segmentation'!BE141</f>
        <v>868.20652173913</v>
      </c>
      <c r="P211" s="40" t="n">
        <f aca="false">'Diagnosis &amp; Store Segmentation'!T141</f>
        <v>3.5</v>
      </c>
      <c r="Q211" s="40" t="n">
        <f aca="false">'Diagnosis &amp; Store Segmentation'!BH141</f>
        <v>117.0582</v>
      </c>
      <c r="R211" s="40" t="n">
        <f aca="false">'Diagnosis &amp; Store Segmentation'!BI141</f>
        <v>78.9285714285714</v>
      </c>
      <c r="S211" s="48" t="str">
        <f aca="false">'Diagnosis &amp; Store Segmentation'!BL141</f>
        <v>Turn around</v>
      </c>
      <c r="T211" s="40" t="n">
        <f aca="false">INDEX('Diagnosis &amp; Store Segmentation'!$O$106:$O$165,MATCH('Diagnosis &amp; Store Segmentation'!BC141,'Diagnosis &amp; Store Segmentation'!$A$106:$A$165,0))</f>
        <v>-2.79696821633435</v>
      </c>
      <c r="U211" s="40" t="n">
        <f aca="false">IF(P211&lt;='Assumptions &amp; Data'!$C$74,MIN($C$13*L211,O211),0)</f>
        <v>0</v>
      </c>
      <c r="V211" s="40" t="n">
        <f aca="false">-C211+U211*'Assumptions &amp; Data'!$C$63/'Assumptions &amp; Data'!$C$85*('Diagnosis &amp; Store Segmentation'!$B$12-'Assumptions &amp; Data'!$C$71)/100000</f>
        <v>-18.9050233337262</v>
      </c>
      <c r="W211" s="40" t="n">
        <f aca="false">IF(V211&gt;0,Q211/V211,99)</f>
        <v>99</v>
      </c>
      <c r="X211" s="40" t="n">
        <f aca="false">IF(AND(B211="Close",U211&gt;0,W211&lt;=$C$12,OR(S211&lt;&gt;"Close",C211&lt;T211)),1,0)</f>
        <v>0</v>
      </c>
      <c r="Y211" s="40" t="n">
        <f aca="false">(1-X211)*($C$6*(D211-$C$7*E211)+$C$8*F211+$C$9*G211+$C$10*H211+$C$11*I211)</f>
        <v>1.02043358476806</v>
      </c>
      <c r="Z211" s="40" t="n">
        <f aca="false">IF(X211=1,"closed",C211+Y211*(1-$C$14))</f>
        <v>19.803004888322</v>
      </c>
      <c r="AA211" s="40" t="n">
        <f aca="false">IF(P211&lt;='Assumptions &amp; Data'!$C$74,MIN($D$13*L211,O211),0)</f>
        <v>0</v>
      </c>
      <c r="AB211" s="40" t="n">
        <f aca="false">-C211+AA211*'Assumptions &amp; Data'!$C$63/'Assumptions &amp; Data'!$C$85*('Diagnosis &amp; Store Segmentation'!$B$12-'Assumptions &amp; Data'!$C$71)/100000</f>
        <v>-18.9050233337262</v>
      </c>
      <c r="AC211" s="40" t="n">
        <f aca="false">IF(AB211&gt;0,Q211/AB211,99)</f>
        <v>99</v>
      </c>
      <c r="AD211" s="40" t="n">
        <f aca="false">IF(AND(B211="Close",AA211&gt;0,AC211&lt;=$D$12,OR(S211&lt;&gt;"Close",C211&lt;T211)),1,0)</f>
        <v>0</v>
      </c>
      <c r="AE211" s="40" t="n">
        <f aca="false">(1-AD211)*($D$6*(D211-$D$7*E211)+$D$8*F211+$D$9*G211+$D$10*H211+$D$11*I211)</f>
        <v>1.53065037715209</v>
      </c>
      <c r="AF211" s="40" t="n">
        <f aca="false">IF(AD211=1,"closed",C211+AE211*(1-$D$14))</f>
        <v>20.3132216807061</v>
      </c>
      <c r="AG211" s="40" t="n">
        <f aca="false">IF(P211&lt;='Assumptions &amp; Data'!$C$74,MIN($E$13*L211,O211),0)</f>
        <v>0</v>
      </c>
      <c r="AH211" s="40" t="n">
        <f aca="false">-C211+AG211*'Assumptions &amp; Data'!$C$63/'Assumptions &amp; Data'!$C$85*('Diagnosis &amp; Store Segmentation'!$B$12-'Assumptions &amp; Data'!$C$71)/100000</f>
        <v>-18.9050233337262</v>
      </c>
      <c r="AI211" s="40" t="n">
        <f aca="false">IF(AH211&gt;0,Q211/AH211,99)</f>
        <v>99</v>
      </c>
      <c r="AJ211" s="40" t="n">
        <f aca="false">IF(AND(B211="Close",AG211&gt;0,AI211&lt;=$E$12,OR(S211&lt;&gt;"Close",C211&lt;T211)),1,0)</f>
        <v>0</v>
      </c>
      <c r="AK211" s="40" t="n">
        <f aca="false">(1-AJ211)*($E$6*(D211-$E$7*E211)+$E$8*F211+$E$9*G211+$E$10*H211+$E$11*I211)</f>
        <v>1.91331297144011</v>
      </c>
      <c r="AL211" s="40" t="n">
        <f aca="false">IF(AJ211=1,"closed",C211+AK211*(1-$E$14))</f>
        <v>20.7226706565943</v>
      </c>
    </row>
    <row r="212" customFormat="false" ht="15" hidden="false" customHeight="false" outlineLevel="0" collapsed="false">
      <c r="A212" s="48" t="str">
        <f aca="false">'Diagnosis &amp; Store Segmentation'!A142</f>
        <v>DS037</v>
      </c>
      <c r="B212" s="48" t="str">
        <f aca="false">'Diagnosis &amp; Store Segmentation'!BK142</f>
        <v>Optimise</v>
      </c>
      <c r="C212" s="40" t="n">
        <f aca="false">'Diagnosis &amp; Store Segmentation'!O142</f>
        <v>16.2614874922589</v>
      </c>
      <c r="D212" s="40" t="n">
        <f aca="false">'Diagnosis &amp; Store Segmentation'!AH142</f>
        <v>3.5807680600292</v>
      </c>
      <c r="E212" s="40" t="n">
        <f aca="false">'Diagnosis &amp; Store Segmentation'!AI142</f>
        <v>40.6596710778613</v>
      </c>
      <c r="F212" s="40" t="n">
        <f aca="false">'Diagnosis &amp; Store Segmentation'!AK142</f>
        <v>0</v>
      </c>
      <c r="G212" s="40" t="n">
        <f aca="false">'Diagnosis &amp; Store Segmentation'!AM142</f>
        <v>0</v>
      </c>
      <c r="H212" s="40" t="n">
        <f aca="false">'Diagnosis &amp; Store Segmentation'!AO142</f>
        <v>0</v>
      </c>
      <c r="I212" s="40" t="n">
        <f aca="false">'Diagnosis &amp; Store Segmentation'!AV142</f>
        <v>0</v>
      </c>
      <c r="J212" s="40" t="n">
        <f aca="false">'Diagnosis &amp; Store Segmentation'!AL142</f>
        <v>0</v>
      </c>
      <c r="K212" s="39" t="n">
        <f aca="false">'Diagnosis &amp; Store Segmentation'!AR142*'Diagnosis &amp; Store Segmentation'!AU142</f>
        <v>0</v>
      </c>
      <c r="L212" s="39" t="n">
        <f aca="false">'Diagnosis &amp; Store Segmentation'!E142</f>
        <v>1140.05434782609</v>
      </c>
      <c r="M212" s="40" t="n">
        <f aca="false">'Diagnosis &amp; Store Segmentation'!F142</f>
        <v>235.930695198533</v>
      </c>
      <c r="N212" s="40" t="n">
        <f aca="false">'Diagnosis &amp; Store Segmentation'!AG142*100*'Diagnosis &amp; Store Segmentation'!F142</f>
        <v>333.392406600288</v>
      </c>
      <c r="O212" s="39" t="n">
        <f aca="false">'Diagnosis &amp; Store Segmentation'!BE142</f>
        <v>570.75</v>
      </c>
      <c r="P212" s="40" t="n">
        <f aca="false">'Diagnosis &amp; Store Segmentation'!T142</f>
        <v>2.8</v>
      </c>
      <c r="Q212" s="40" t="n">
        <f aca="false">'Diagnosis &amp; Store Segmentation'!BH142</f>
        <v>84.46866</v>
      </c>
      <c r="R212" s="40" t="n">
        <f aca="false">'Diagnosis &amp; Store Segmentation'!BI142</f>
        <v>43.7142857142857</v>
      </c>
      <c r="S212" s="48" t="str">
        <f aca="false">'Diagnosis &amp; Store Segmentation'!BL142</f>
        <v>Scale</v>
      </c>
      <c r="T212" s="40" t="n">
        <f aca="false">INDEX('Diagnosis &amp; Store Segmentation'!$O$106:$O$165,MATCH('Diagnosis &amp; Store Segmentation'!BC142,'Diagnosis &amp; Store Segmentation'!$A$106:$A$165,0))</f>
        <v>6.91543311524085</v>
      </c>
      <c r="U212" s="40" t="n">
        <f aca="false">IF(P212&lt;='Assumptions &amp; Data'!$C$74,MIN($C$13*L212,O212),0)</f>
        <v>0</v>
      </c>
      <c r="V212" s="40" t="n">
        <f aca="false">-C212+U212*'Assumptions &amp; Data'!$C$63/'Assumptions &amp; Data'!$C$85*('Diagnosis &amp; Store Segmentation'!$B$12-'Assumptions &amp; Data'!$C$71)/100000</f>
        <v>-16.2614874922589</v>
      </c>
      <c r="W212" s="40" t="n">
        <f aca="false">IF(V212&gt;0,Q212/V212,99)</f>
        <v>99</v>
      </c>
      <c r="X212" s="40" t="n">
        <f aca="false">IF(AND(B212="Close",U212&gt;0,W212&lt;=$C$12,OR(S212&lt;&gt;"Close",C212&lt;T212)),1,0)</f>
        <v>0</v>
      </c>
      <c r="Y212" s="40" t="n">
        <f aca="false">(1-X212)*($C$6*(D212-$C$7*E212)+$C$8*F212+$C$9*G212+$C$10*H212+$C$11*I212)</f>
        <v>1.48543649693064</v>
      </c>
      <c r="Z212" s="40" t="n">
        <f aca="false">IF(X212=1,"closed",C212+Y212*(1-$C$14))</f>
        <v>17.5686716095579</v>
      </c>
      <c r="AA212" s="40" t="n">
        <f aca="false">IF(P212&lt;='Assumptions &amp; Data'!$C$74,MIN($D$13*L212,O212),0)</f>
        <v>0</v>
      </c>
      <c r="AB212" s="40" t="n">
        <f aca="false">-C212+AA212*'Assumptions &amp; Data'!$C$63/'Assumptions &amp; Data'!$C$85*('Diagnosis &amp; Store Segmentation'!$B$12-'Assumptions &amp; Data'!$C$71)/100000</f>
        <v>-16.2614874922589</v>
      </c>
      <c r="AC212" s="40" t="n">
        <f aca="false">IF(AB212&gt;0,Q212/AB212,99)</f>
        <v>99</v>
      </c>
      <c r="AD212" s="40" t="n">
        <f aca="false">IF(AND(B212="Close",AA212&gt;0,AC212&lt;=$D$12,OR(S212&lt;&gt;"Close",C212&lt;T212)),1,0)</f>
        <v>0</v>
      </c>
      <c r="AE212" s="40" t="n">
        <f aca="false">(1-AD212)*($D$6*(D212-$D$7*E212)+$D$8*F212+$D$9*G212+$D$10*H212+$D$11*I212)</f>
        <v>2.22191994447541</v>
      </c>
      <c r="AF212" s="40" t="n">
        <f aca="false">IF(AD212=1,"closed",C212+AE212*(1-$D$14))</f>
        <v>18.3056538411763</v>
      </c>
      <c r="AG212" s="40" t="n">
        <f aca="false">IF(P212&lt;='Assumptions &amp; Data'!$C$74,MIN($E$13*L212,O212),0)</f>
        <v>0</v>
      </c>
      <c r="AH212" s="40" t="n">
        <f aca="false">-C212+AG212*'Assumptions &amp; Data'!$C$63/'Assumptions &amp; Data'!$C$85*('Diagnosis &amp; Store Segmentation'!$B$12-'Assumptions &amp; Data'!$C$71)/100000</f>
        <v>-16.2614874922589</v>
      </c>
      <c r="AI212" s="40" t="n">
        <f aca="false">IF(AH212&gt;0,Q212/AH212,99)</f>
        <v>99</v>
      </c>
      <c r="AJ212" s="40" t="n">
        <f aca="false">IF(AND(B212="Close",AG212&gt;0,AI212&lt;=$E$12,OR(S212&lt;&gt;"Close",C212&lt;T212)),1,0)</f>
        <v>0</v>
      </c>
      <c r="AK212" s="40" t="n">
        <f aca="false">(1-AJ212)*($E$6*(D212-$E$7*E212)+$E$8*F212+$E$9*G212+$E$10*H212+$E$11*I212)</f>
        <v>2.80172780811155</v>
      </c>
      <c r="AL212" s="40" t="n">
        <f aca="false">IF(AJ212=1,"closed",C212+AK212*(1-$E$14))</f>
        <v>18.9231289099649</v>
      </c>
    </row>
    <row r="213" customFormat="false" ht="15" hidden="false" customHeight="false" outlineLevel="0" collapsed="false">
      <c r="A213" s="48" t="str">
        <f aca="false">'Diagnosis &amp; Store Segmentation'!A143</f>
        <v>DS038</v>
      </c>
      <c r="B213" s="48" t="str">
        <f aca="false">'Diagnosis &amp; Store Segmentation'!BK143</f>
        <v>Relocate or resize</v>
      </c>
      <c r="C213" s="40" t="n">
        <f aca="false">'Diagnosis &amp; Store Segmentation'!O143</f>
        <v>-9.46896463540397</v>
      </c>
      <c r="D213" s="40" t="n">
        <f aca="false">'Diagnosis &amp; Store Segmentation'!AH143</f>
        <v>1.1423559555622</v>
      </c>
      <c r="E213" s="40" t="n">
        <f aca="false">'Diagnosis &amp; Store Segmentation'!AI143</f>
        <v>7.86568825647531</v>
      </c>
      <c r="F213" s="40" t="n">
        <f aca="false">'Diagnosis &amp; Store Segmentation'!AK143</f>
        <v>0.60268472180042</v>
      </c>
      <c r="G213" s="40" t="n">
        <f aca="false">'Diagnosis &amp; Store Segmentation'!AM143</f>
        <v>1.44615348338852</v>
      </c>
      <c r="H213" s="40" t="n">
        <f aca="false">'Diagnosis &amp; Store Segmentation'!AO143</f>
        <v>0.809312866428295</v>
      </c>
      <c r="I213" s="40" t="n">
        <f aca="false">'Diagnosis &amp; Store Segmentation'!AV143</f>
        <v>0</v>
      </c>
      <c r="J213" s="40" t="n">
        <f aca="false">'Diagnosis &amp; Store Segmentation'!AL143</f>
        <v>6.51420488012847</v>
      </c>
      <c r="K213" s="39" t="n">
        <f aca="false">'Diagnosis &amp; Store Segmentation'!AR143*'Diagnosis &amp; Store Segmentation'!AU143</f>
        <v>0</v>
      </c>
      <c r="L213" s="39" t="n">
        <f aca="false">'Diagnosis &amp; Store Segmentation'!E143</f>
        <v>362.054347826087</v>
      </c>
      <c r="M213" s="40" t="n">
        <f aca="false">'Diagnosis &amp; Store Segmentation'!F143</f>
        <v>68.6271495061333</v>
      </c>
      <c r="N213" s="40" t="n">
        <f aca="false">'Diagnosis &amp; Store Segmentation'!AG143*100*'Diagnosis &amp; Store Segmentation'!F143</f>
        <v>106.206998533823</v>
      </c>
      <c r="O213" s="39" t="n">
        <f aca="false">'Diagnosis &amp; Store Segmentation'!BE143</f>
        <v>534.815217391304</v>
      </c>
      <c r="P213" s="40" t="n">
        <f aca="false">'Diagnosis &amp; Store Segmentation'!T143</f>
        <v>2.9</v>
      </c>
      <c r="Q213" s="40" t="n">
        <f aca="false">'Diagnosis &amp; Store Segmentation'!BH143</f>
        <v>141.4968</v>
      </c>
      <c r="R213" s="40" t="n">
        <f aca="false">'Diagnosis &amp; Store Segmentation'!BI143</f>
        <v>159.880952380952</v>
      </c>
      <c r="S213" s="48" t="str">
        <f aca="false">'Diagnosis &amp; Store Segmentation'!BL143</f>
        <v>Optimise</v>
      </c>
      <c r="T213" s="40" t="n">
        <f aca="false">INDEX('Diagnosis &amp; Store Segmentation'!$O$106:$O$165,MATCH('Diagnosis &amp; Store Segmentation'!BC143,'Diagnosis &amp; Store Segmentation'!$A$106:$A$165,0))</f>
        <v>7.54114791368287</v>
      </c>
      <c r="U213" s="40" t="n">
        <f aca="false">IF(P213&lt;='Assumptions &amp; Data'!$C$74,MIN($C$13*L213,O213),0)</f>
        <v>0</v>
      </c>
      <c r="V213" s="40" t="n">
        <f aca="false">-C213+U213*'Assumptions &amp; Data'!$C$63/'Assumptions &amp; Data'!$C$85*('Diagnosis &amp; Store Segmentation'!$B$12-'Assumptions &amp; Data'!$C$71)/100000</f>
        <v>9.46896463540397</v>
      </c>
      <c r="W213" s="40" t="n">
        <f aca="false">IF(V213&gt;0,Q213/V213,99)</f>
        <v>14.9432177062897</v>
      </c>
      <c r="X213" s="40" t="n">
        <f aca="false">IF(AND(B213="Close",U213&gt;0,W213&lt;=$C$12,OR(S213&lt;&gt;"Close",C213&lt;T213)),1,0)</f>
        <v>0</v>
      </c>
      <c r="Y213" s="40" t="n">
        <f aca="false">(1-X213)*($C$6*(D213-$C$7*E213)+$C$8*F213+$C$9*G213+$C$10*H213+$C$11*I213)</f>
        <v>1.5745144578616</v>
      </c>
      <c r="Z213" s="40" t="n">
        <f aca="false">IF(X213=1,"closed",C213+Y213*(1-$C$14))</f>
        <v>-8.08339191248576</v>
      </c>
      <c r="AA213" s="40" t="n">
        <f aca="false">IF(P213&lt;='Assumptions &amp; Data'!$C$74,MIN($D$13*L213,O213),0)</f>
        <v>0</v>
      </c>
      <c r="AB213" s="40" t="n">
        <f aca="false">-C213+AA213*'Assumptions &amp; Data'!$C$63/'Assumptions &amp; Data'!$C$85*('Diagnosis &amp; Store Segmentation'!$B$12-'Assumptions &amp; Data'!$C$71)/100000</f>
        <v>9.46896463540397</v>
      </c>
      <c r="AC213" s="40" t="n">
        <f aca="false">IF(AB213&gt;0,Q213/AB213,99)</f>
        <v>14.9432177062897</v>
      </c>
      <c r="AD213" s="40" t="n">
        <f aca="false">IF(AND(B213="Close",AA213&gt;0,AC213&lt;=$D$12,OR(S213&lt;&gt;"Close",C213&lt;T213)),1,0)</f>
        <v>0</v>
      </c>
      <c r="AE213" s="40" t="n">
        <f aca="false">(1-AD213)*($D$6*(D213-$D$7*E213)+$D$8*F213+$D$9*G213+$D$10*H213+$D$11*I213)</f>
        <v>2.37854870742573</v>
      </c>
      <c r="AF213" s="40" t="n">
        <f aca="false">IF(AD213=1,"closed",C213+AE213*(1-$D$14))</f>
        <v>-7.28069982457231</v>
      </c>
      <c r="AG213" s="40" t="n">
        <f aca="false">IF(P213&lt;='Assumptions &amp; Data'!$C$74,MIN($E$13*L213,O213),0)</f>
        <v>0</v>
      </c>
      <c r="AH213" s="40" t="n">
        <f aca="false">-C213+AG213*'Assumptions &amp; Data'!$C$63/'Assumptions &amp; Data'!$C$85*('Diagnosis &amp; Store Segmentation'!$B$12-'Assumptions &amp; Data'!$C$71)/100000</f>
        <v>9.46896463540397</v>
      </c>
      <c r="AI213" s="40" t="n">
        <f aca="false">IF(AH213&gt;0,Q213/AH213,99)</f>
        <v>14.9432177062897</v>
      </c>
      <c r="AJ213" s="40" t="n">
        <f aca="false">IF(AND(B213="Close",AG213&gt;0,AI213&lt;=$E$12,OR(S213&lt;&gt;"Close",C213&lt;T213)),1,0)</f>
        <v>0</v>
      </c>
      <c r="AK213" s="40" t="n">
        <f aca="false">(1-AJ213)*($E$6*(D213-$E$7*E213)+$E$8*F213+$E$9*G213+$E$10*H213+$E$11*I213)</f>
        <v>2.98688373417194</v>
      </c>
      <c r="AL213" s="40" t="n">
        <f aca="false">IF(AJ213=1,"closed",C213+AK213*(1-$E$14))</f>
        <v>-6.63142508794063</v>
      </c>
    </row>
    <row r="214" customFormat="false" ht="15" hidden="false" customHeight="false" outlineLevel="0" collapsed="false">
      <c r="A214" s="48" t="str">
        <f aca="false">'Diagnosis &amp; Store Segmentation'!A144</f>
        <v>DS039</v>
      </c>
      <c r="B214" s="48" t="str">
        <f aca="false">'Diagnosis &amp; Store Segmentation'!BK144</f>
        <v>Optimise</v>
      </c>
      <c r="C214" s="40" t="n">
        <f aca="false">'Diagnosis &amp; Store Segmentation'!O144</f>
        <v>7.31818848181519</v>
      </c>
      <c r="D214" s="40" t="n">
        <f aca="false">'Diagnosis &amp; Store Segmentation'!AH144</f>
        <v>0</v>
      </c>
      <c r="E214" s="40" t="n">
        <f aca="false">'Diagnosis &amp; Store Segmentation'!AI144</f>
        <v>0</v>
      </c>
      <c r="F214" s="40" t="n">
        <f aca="false">'Diagnosis &amp; Store Segmentation'!AK144</f>
        <v>3.77246127753519</v>
      </c>
      <c r="G214" s="40" t="n">
        <f aca="false">'Diagnosis &amp; Store Segmentation'!AM144</f>
        <v>0.709777965529524</v>
      </c>
      <c r="H214" s="40" t="n">
        <f aca="false">'Diagnosis &amp; Store Segmentation'!AO144</f>
        <v>0</v>
      </c>
      <c r="I214" s="40" t="n">
        <f aca="false">'Diagnosis &amp; Store Segmentation'!AV144</f>
        <v>0</v>
      </c>
      <c r="J214" s="40" t="n">
        <f aca="false">'Diagnosis &amp; Store Segmentation'!AL144</f>
        <v>3.60708411808608</v>
      </c>
      <c r="K214" s="39" t="n">
        <f aca="false">'Diagnosis &amp; Store Segmentation'!AR144*'Diagnosis &amp; Store Segmentation'!AU144</f>
        <v>0</v>
      </c>
      <c r="L214" s="39" t="n">
        <f aca="false">'Diagnosis &amp; Store Segmentation'!E144</f>
        <v>1249.10869565217</v>
      </c>
      <c r="M214" s="40" t="n">
        <f aca="false">'Diagnosis &amp; Store Segmentation'!F144</f>
        <v>231.976393537633</v>
      </c>
      <c r="N214" s="40" t="n">
        <f aca="false">'Diagnosis &amp; Store Segmentation'!AG144*100*'Diagnosis &amp; Store Segmentation'!F144</f>
        <v>0</v>
      </c>
      <c r="O214" s="39" t="n">
        <f aca="false">'Diagnosis &amp; Store Segmentation'!BE144</f>
        <v>579.760869565217</v>
      </c>
      <c r="P214" s="40" t="n">
        <f aca="false">'Diagnosis &amp; Store Segmentation'!T144</f>
        <v>3.1</v>
      </c>
      <c r="Q214" s="40" t="n">
        <f aca="false">'Diagnosis &amp; Store Segmentation'!BH144</f>
        <v>19.559541</v>
      </c>
      <c r="R214" s="40" t="n">
        <f aca="false">'Diagnosis &amp; Store Segmentation'!BI144</f>
        <v>72.8571428571429</v>
      </c>
      <c r="S214" s="48" t="str">
        <f aca="false">'Diagnosis &amp; Store Segmentation'!BL144</f>
        <v>Turn around</v>
      </c>
      <c r="T214" s="40" t="n">
        <f aca="false">INDEX('Diagnosis &amp; Store Segmentation'!$O$106:$O$165,MATCH('Diagnosis &amp; Store Segmentation'!BC144,'Diagnosis &amp; Store Segmentation'!$A$106:$A$165,0))</f>
        <v>-4.93282626810161</v>
      </c>
      <c r="U214" s="40" t="n">
        <f aca="false">IF(P214&lt;='Assumptions &amp; Data'!$C$74,MIN($C$13*L214,O214),0)</f>
        <v>0</v>
      </c>
      <c r="V214" s="40" t="n">
        <f aca="false">-C214+U214*'Assumptions &amp; Data'!$C$63/'Assumptions &amp; Data'!$C$85*('Diagnosis &amp; Store Segmentation'!$B$12-'Assumptions &amp; Data'!$C$71)/100000</f>
        <v>-7.31818848181519</v>
      </c>
      <c r="W214" s="40" t="n">
        <f aca="false">IF(V214&gt;0,Q214/V214,99)</f>
        <v>99</v>
      </c>
      <c r="X214" s="40" t="n">
        <f aca="false">IF(AND(B214="Close",U214&gt;0,W214&lt;=$C$12,OR(S214&lt;&gt;"Close",C214&lt;T214)),1,0)</f>
        <v>0</v>
      </c>
      <c r="Y214" s="40" t="n">
        <f aca="false">(1-X214)*($C$6*(D214-$C$7*E214)+$C$8*F214+$C$9*G214+$C$10*H214+$C$11*I214)</f>
        <v>1.79289569722588</v>
      </c>
      <c r="Z214" s="40" t="n">
        <f aca="false">IF(X214=1,"closed",C214+Y214*(1-$C$14))</f>
        <v>8.89593669537397</v>
      </c>
      <c r="AA214" s="40" t="n">
        <f aca="false">IF(P214&lt;='Assumptions &amp; Data'!$C$74,MIN($D$13*L214,O214),0)</f>
        <v>0</v>
      </c>
      <c r="AB214" s="40" t="n">
        <f aca="false">-C214+AA214*'Assumptions &amp; Data'!$C$63/'Assumptions &amp; Data'!$C$85*('Diagnosis &amp; Store Segmentation'!$B$12-'Assumptions &amp; Data'!$C$71)/100000</f>
        <v>-7.31818848181519</v>
      </c>
      <c r="AC214" s="40" t="n">
        <f aca="false">IF(AB214&gt;0,Q214/AB214,99)</f>
        <v>99</v>
      </c>
      <c r="AD214" s="40" t="n">
        <f aca="false">IF(AND(B214="Close",AA214&gt;0,AC214&lt;=$D$12,OR(S214&lt;&gt;"Close",C214&lt;T214)),1,0)</f>
        <v>0</v>
      </c>
      <c r="AE214" s="40" t="n">
        <f aca="false">(1-AD214)*($D$6*(D214-$D$7*E214)+$D$8*F214+$D$9*G214+$D$10*H214+$D$11*I214)</f>
        <v>2.68934354583883</v>
      </c>
      <c r="AF214" s="40" t="n">
        <f aca="false">IF(AD214=1,"closed",C214+AE214*(1-$D$14))</f>
        <v>9.79238454398691</v>
      </c>
      <c r="AG214" s="40" t="n">
        <f aca="false">IF(P214&lt;='Assumptions &amp; Data'!$C$74,MIN($E$13*L214,O214),0)</f>
        <v>0</v>
      </c>
      <c r="AH214" s="40" t="n">
        <f aca="false">-C214+AG214*'Assumptions &amp; Data'!$C$63/'Assumptions &amp; Data'!$C$85*('Diagnosis &amp; Store Segmentation'!$B$12-'Assumptions &amp; Data'!$C$71)/100000</f>
        <v>-7.31818848181519</v>
      </c>
      <c r="AI214" s="40" t="n">
        <f aca="false">IF(AH214&gt;0,Q214/AH214,99)</f>
        <v>99</v>
      </c>
      <c r="AJ214" s="40" t="n">
        <f aca="false">IF(AND(B214="Close",AG214&gt;0,AI214&lt;=$E$12,OR(S214&lt;&gt;"Close",C214&lt;T214)),1,0)</f>
        <v>0</v>
      </c>
      <c r="AK214" s="40" t="n">
        <f aca="false">(1-AJ214)*($E$6*(D214-$E$7*E214)+$E$8*F214+$E$9*G214+$E$10*H214+$E$11*I214)</f>
        <v>3.36167943229853</v>
      </c>
      <c r="AL214" s="40" t="n">
        <f aca="false">IF(AJ214=1,"closed",C214+AK214*(1-$E$14))</f>
        <v>10.5117839424988</v>
      </c>
    </row>
    <row r="215" customFormat="false" ht="15" hidden="false" customHeight="false" outlineLevel="0" collapsed="false">
      <c r="A215" s="48" t="str">
        <f aca="false">'Diagnosis &amp; Store Segmentation'!A145</f>
        <v>DS040</v>
      </c>
      <c r="B215" s="48" t="str">
        <f aca="false">'Diagnosis &amp; Store Segmentation'!BK145</f>
        <v>Optimise</v>
      </c>
      <c r="C215" s="40" t="n">
        <f aca="false">'Diagnosis &amp; Store Segmentation'!O145</f>
        <v>-0.630920178273398</v>
      </c>
      <c r="D215" s="40" t="n">
        <f aca="false">'Diagnosis &amp; Store Segmentation'!AH145</f>
        <v>3.56167249149001</v>
      </c>
      <c r="E215" s="40" t="n">
        <f aca="false">'Diagnosis &amp; Store Segmentation'!AI145</f>
        <v>26.980131581117</v>
      </c>
      <c r="F215" s="40" t="n">
        <f aca="false">'Diagnosis &amp; Store Segmentation'!AK145</f>
        <v>0.989364748674686</v>
      </c>
      <c r="G215" s="40" t="n">
        <f aca="false">'Diagnosis &amp; Store Segmentation'!AM145</f>
        <v>0</v>
      </c>
      <c r="H215" s="40" t="n">
        <f aca="false">'Diagnosis &amp; Store Segmentation'!AO145</f>
        <v>0.0637253846287695</v>
      </c>
      <c r="I215" s="40" t="n">
        <f aca="false">'Diagnosis &amp; Store Segmentation'!AV145</f>
        <v>1.57521077992066</v>
      </c>
      <c r="J215" s="40" t="n">
        <f aca="false">'Diagnosis &amp; Store Segmentation'!AL145</f>
        <v>0</v>
      </c>
      <c r="K215" s="39" t="n">
        <f aca="false">'Diagnosis &amp; Store Segmentation'!AR145*'Diagnosis &amp; Store Segmentation'!AU145</f>
        <v>1500.28873961734</v>
      </c>
      <c r="L215" s="39" t="n">
        <f aca="false">'Diagnosis &amp; Store Segmentation'!E145</f>
        <v>650.565217391304</v>
      </c>
      <c r="M215" s="40" t="n">
        <f aca="false">'Diagnosis &amp; Store Segmentation'!F145</f>
        <v>114.5355442356</v>
      </c>
      <c r="N215" s="40" t="n">
        <f aca="false">'Diagnosis &amp; Store Segmentation'!AG145*100*'Diagnosis &amp; Store Segmentation'!F145</f>
        <v>326.494577666914</v>
      </c>
      <c r="O215" s="39" t="n">
        <f aca="false">'Diagnosis &amp; Store Segmentation'!BE145</f>
        <v>907.945652173913</v>
      </c>
      <c r="P215" s="40" t="n">
        <f aca="false">'Diagnosis &amp; Store Segmentation'!T145</f>
        <v>3.6</v>
      </c>
      <c r="Q215" s="40" t="n">
        <f aca="false">'Diagnosis &amp; Store Segmentation'!BH145</f>
        <v>17.951706</v>
      </c>
      <c r="R215" s="40" t="n">
        <f aca="false">'Diagnosis &amp; Store Segmentation'!BI145</f>
        <v>118.190476190476</v>
      </c>
      <c r="S215" s="48" t="str">
        <f aca="false">'Diagnosis &amp; Store Segmentation'!BL145</f>
        <v>Turn around</v>
      </c>
      <c r="T215" s="40" t="n">
        <f aca="false">INDEX('Diagnosis &amp; Store Segmentation'!$O$106:$O$165,MATCH('Diagnosis &amp; Store Segmentation'!BC145,'Diagnosis &amp; Store Segmentation'!$A$106:$A$165,0))</f>
        <v>-4.43112944750383</v>
      </c>
      <c r="U215" s="40" t="n">
        <f aca="false">IF(P215&lt;='Assumptions &amp; Data'!$C$74,MIN($C$13*L215,O215),0)</f>
        <v>0</v>
      </c>
      <c r="V215" s="40" t="n">
        <f aca="false">-C215+U215*'Assumptions &amp; Data'!$C$63/'Assumptions &amp; Data'!$C$85*('Diagnosis &amp; Store Segmentation'!$B$12-'Assumptions &amp; Data'!$C$71)/100000</f>
        <v>0.630920178273398</v>
      </c>
      <c r="W215" s="40" t="n">
        <f aca="false">IF(V215&gt;0,Q215/V215,99)</f>
        <v>28.4532126538216</v>
      </c>
      <c r="X215" s="40" t="n">
        <f aca="false">IF(AND(B215="Close",U215&gt;0,W215&lt;=$C$12,OR(S215&lt;&gt;"Close",C215&lt;T215)),1,0)</f>
        <v>0</v>
      </c>
      <c r="Y215" s="40" t="n">
        <f aca="false">(1-X215)*($C$6*(D215-$C$7*E215)+$C$8*F215+$C$9*G215+$C$10*H215+$C$11*I215)</f>
        <v>2.46591200772133</v>
      </c>
      <c r="Z215" s="40" t="n">
        <f aca="false">IF(X215=1,"closed",C215+Y215*(1-$C$14))</f>
        <v>1.53908238852137</v>
      </c>
      <c r="AA215" s="40" t="n">
        <f aca="false">IF(P215&lt;='Assumptions &amp; Data'!$C$74,MIN($D$13*L215,O215),0)</f>
        <v>0</v>
      </c>
      <c r="AB215" s="40" t="n">
        <f aca="false">-C215+AA215*'Assumptions &amp; Data'!$C$63/'Assumptions &amp; Data'!$C$85*('Diagnosis &amp; Store Segmentation'!$B$12-'Assumptions &amp; Data'!$C$71)/100000</f>
        <v>0.630920178273398</v>
      </c>
      <c r="AC215" s="40" t="n">
        <f aca="false">IF(AB215&gt;0,Q215/AB215,99)</f>
        <v>28.4532126538216</v>
      </c>
      <c r="AD215" s="40" t="n">
        <f aca="false">IF(AND(B215="Close",AA215&gt;0,AC215&lt;=$D$12,OR(S215&lt;&gt;"Close",C215&lt;T215)),1,0)</f>
        <v>0</v>
      </c>
      <c r="AE215" s="40" t="n">
        <f aca="false">(1-AD215)*($D$6*(D215-$D$7*E215)+$D$8*F215+$D$9*G215+$D$10*H215+$D$11*I215)</f>
        <v>3.71739675445472</v>
      </c>
      <c r="AF215" s="40" t="n">
        <f aca="false">IF(AD215=1,"closed",C215+AE215*(1-$D$14))</f>
        <v>2.78908483582494</v>
      </c>
      <c r="AG215" s="40" t="n">
        <f aca="false">IF(P215&lt;='Assumptions &amp; Data'!$C$74,MIN($E$13*L215,O215),0)</f>
        <v>0</v>
      </c>
      <c r="AH215" s="40" t="n">
        <f aca="false">-C215+AG215*'Assumptions &amp; Data'!$C$63/'Assumptions &amp; Data'!$C$85*('Diagnosis &amp; Store Segmentation'!$B$12-'Assumptions &amp; Data'!$C$71)/100000</f>
        <v>0.630920178273398</v>
      </c>
      <c r="AI215" s="40" t="n">
        <f aca="false">IF(AH215&gt;0,Q215/AH215,99)</f>
        <v>28.4532126538216</v>
      </c>
      <c r="AJ215" s="40" t="n">
        <f aca="false">IF(AND(B215="Close",AG215&gt;0,AI215&lt;=$E$12,OR(S215&lt;&gt;"Close",C215&lt;T215)),1,0)</f>
        <v>0</v>
      </c>
      <c r="AK215" s="40" t="n">
        <f aca="false">(1-AJ215)*($E$6*(D215-$E$7*E215)+$E$8*F215+$E$9*G215+$E$10*H215+$E$11*I215)</f>
        <v>4.75298244231804</v>
      </c>
      <c r="AL215" s="40" t="n">
        <f aca="false">IF(AJ215=1,"closed",C215+AK215*(1-$E$14))</f>
        <v>3.88441314192874</v>
      </c>
    </row>
    <row r="216" customFormat="false" ht="15" hidden="false" customHeight="false" outlineLevel="0" collapsed="false">
      <c r="A216" s="48" t="str">
        <f aca="false">'Diagnosis &amp; Store Segmentation'!A146</f>
        <v>DS041</v>
      </c>
      <c r="B216" s="48" t="str">
        <f aca="false">'Diagnosis &amp; Store Segmentation'!BK146</f>
        <v>Relocate or resize</v>
      </c>
      <c r="C216" s="40" t="n">
        <f aca="false">'Diagnosis &amp; Store Segmentation'!O146</f>
        <v>-10.4597409421838</v>
      </c>
      <c r="D216" s="40" t="n">
        <f aca="false">'Diagnosis &amp; Store Segmentation'!AH146</f>
        <v>0.692911557701755</v>
      </c>
      <c r="E216" s="40" t="n">
        <f aca="false">'Diagnosis &amp; Store Segmentation'!AI146</f>
        <v>4.25498546861611</v>
      </c>
      <c r="F216" s="40" t="n">
        <f aca="false">'Diagnosis &amp; Store Segmentation'!AK146</f>
        <v>0.390391817707112</v>
      </c>
      <c r="G216" s="40" t="n">
        <f aca="false">'Diagnosis &amp; Store Segmentation'!AM146</f>
        <v>2.39763957425468</v>
      </c>
      <c r="H216" s="40" t="n">
        <f aca="false">'Diagnosis &amp; Store Segmentation'!AO146</f>
        <v>0.179696900257384</v>
      </c>
      <c r="I216" s="40" t="n">
        <f aca="false">'Diagnosis &amp; Store Segmentation'!AV146</f>
        <v>0</v>
      </c>
      <c r="J216" s="40" t="n">
        <f aca="false">'Diagnosis &amp; Store Segmentation'!AL146</f>
        <v>12.184778972022</v>
      </c>
      <c r="K216" s="39" t="n">
        <f aca="false">'Diagnosis &amp; Store Segmentation'!AR146*'Diagnosis &amp; Store Segmentation'!AU146</f>
        <v>0</v>
      </c>
      <c r="L216" s="39" t="n">
        <f aca="false">'Diagnosis &amp; Store Segmentation'!E146</f>
        <v>145.619565217391</v>
      </c>
      <c r="M216" s="40" t="n">
        <f aca="false">'Diagnosis &amp; Store Segmentation'!F146</f>
        <v>24.0375903079333</v>
      </c>
      <c r="N216" s="40" t="n">
        <f aca="false">'Diagnosis &amp; Store Segmentation'!AG146*100*'Diagnosis &amp; Store Segmentation'!F146</f>
        <v>63.6586133223709</v>
      </c>
      <c r="O216" s="39" t="n">
        <f aca="false">'Diagnosis &amp; Store Segmentation'!BE146</f>
        <v>169.760869565218</v>
      </c>
      <c r="P216" s="40" t="n">
        <f aca="false">'Diagnosis &amp; Store Segmentation'!T146</f>
        <v>1.3</v>
      </c>
      <c r="Q216" s="40" t="n">
        <f aca="false">'Diagnosis &amp; Store Segmentation'!BH146</f>
        <v>65.983536</v>
      </c>
      <c r="R216" s="40" t="n">
        <f aca="false">'Diagnosis &amp; Store Segmentation'!BI146</f>
        <v>161.904761904762</v>
      </c>
      <c r="S216" s="48" t="str">
        <f aca="false">'Diagnosis &amp; Store Segmentation'!BL146</f>
        <v>Scale</v>
      </c>
      <c r="T216" s="40" t="n">
        <f aca="false">INDEX('Diagnosis &amp; Store Segmentation'!$O$106:$O$165,MATCH('Diagnosis &amp; Store Segmentation'!BC146,'Diagnosis &amp; Store Segmentation'!$A$106:$A$165,0))</f>
        <v>9.60942450200014</v>
      </c>
      <c r="U216" s="40" t="n">
        <f aca="false">IF(P216&lt;='Assumptions &amp; Data'!$C$74,MIN($C$13*L216,O216),0)</f>
        <v>65.5288043478261</v>
      </c>
      <c r="V216" s="40" t="n">
        <f aca="false">-C216+U216*'Assumptions &amp; Data'!$C$63/'Assumptions &amp; Data'!$C$85*('Diagnosis &amp; Store Segmentation'!$B$12-'Assumptions &amp; Data'!$C$71)/100000</f>
        <v>11.5597089910071</v>
      </c>
      <c r="W216" s="40" t="n">
        <f aca="false">IF(V216&gt;0,Q216/V216,99)</f>
        <v>5.70806203264563</v>
      </c>
      <c r="X216" s="40" t="n">
        <f aca="false">IF(AND(B216="Close",U216&gt;0,W216&lt;=$C$12,OR(S216&lt;&gt;"Close",C216&lt;T216)),1,0)</f>
        <v>0</v>
      </c>
      <c r="Y216" s="40" t="n">
        <f aca="false">(1-X216)*($C$6*(D216-$C$7*E216)+$C$8*F216+$C$9*G216+$C$10*H216+$C$11*I216)</f>
        <v>1.48366501469819</v>
      </c>
      <c r="Z216" s="40" t="n">
        <f aca="false">IF(X216=1,"closed",C216+Y216*(1-$C$14))</f>
        <v>-9.15411572924943</v>
      </c>
      <c r="AA216" s="40" t="n">
        <f aca="false">IF(P216&lt;='Assumptions &amp; Data'!$C$74,MIN($D$13*L216,O216),0)</f>
        <v>87.3717391304348</v>
      </c>
      <c r="AB216" s="40" t="n">
        <f aca="false">-C216+AA216*'Assumptions &amp; Data'!$C$63/'Assumptions &amp; Data'!$C$85*('Diagnosis &amp; Store Segmentation'!$B$12-'Assumptions &amp; Data'!$C$71)/100000</f>
        <v>11.9263650072815</v>
      </c>
      <c r="AC216" s="40" t="n">
        <f aca="false">IF(AB216&gt;0,Q216/AB216,99)</f>
        <v>5.53257727394008</v>
      </c>
      <c r="AD216" s="40" t="n">
        <f aca="false">IF(AND(B216="Close",AA216&gt;0,AC216&lt;=$D$12,OR(S216&lt;&gt;"Close",C216&lt;T216)),1,0)</f>
        <v>0</v>
      </c>
      <c r="AE216" s="40" t="n">
        <f aca="false">(1-AD216)*($D$6*(D216-$D$7*E216)+$D$8*F216+$D$9*G216+$D$10*H216+$D$11*I216)</f>
        <v>2.21792047741668</v>
      </c>
      <c r="AF216" s="40" t="n">
        <f aca="false">IF(AD216=1,"closed",C216+AE216*(1-$D$14))</f>
        <v>-8.41925410296049</v>
      </c>
      <c r="AG216" s="40" t="n">
        <f aca="false">IF(P216&lt;='Assumptions &amp; Data'!$C$74,MIN($E$13*L216,O216),0)</f>
        <v>101.933695652174</v>
      </c>
      <c r="AH216" s="40" t="n">
        <f aca="false">-C216+AG216*'Assumptions &amp; Data'!$C$63/'Assumptions &amp; Data'!$C$85*('Diagnosis &amp; Store Segmentation'!$B$12-'Assumptions &amp; Data'!$C$71)/100000</f>
        <v>12.1708023514645</v>
      </c>
      <c r="AI216" s="40" t="n">
        <f aca="false">IF(AH216&gt;0,Q216/AH216,99)</f>
        <v>5.42146146938787</v>
      </c>
      <c r="AJ216" s="40" t="n">
        <f aca="false">IF(AND(B216="Close",AG216&gt;0,AI216&lt;=$E$12,OR(S216&lt;&gt;"Close",C216&lt;T216)),1,0)</f>
        <v>0</v>
      </c>
      <c r="AK216" s="40" t="n">
        <f aca="false">(1-AJ216)*($E$6*(D216-$E$7*E216)+$E$8*F216+$E$9*G216+$E$10*H216+$E$11*I216)</f>
        <v>2.77148418964687</v>
      </c>
      <c r="AL216" s="40" t="n">
        <f aca="false">IF(AJ216=1,"closed",C216+AK216*(1-$E$14))</f>
        <v>-7.82683096201931</v>
      </c>
    </row>
    <row r="217" customFormat="false" ht="15" hidden="false" customHeight="false" outlineLevel="0" collapsed="false">
      <c r="A217" s="48" t="str">
        <f aca="false">'Diagnosis &amp; Store Segmentation'!A147</f>
        <v>DS042</v>
      </c>
      <c r="B217" s="48" t="str">
        <f aca="false">'Diagnosis &amp; Store Segmentation'!BK147</f>
        <v>Scale</v>
      </c>
      <c r="C217" s="40" t="n">
        <f aca="false">'Diagnosis &amp; Store Segmentation'!O147</f>
        <v>9.60942450200014</v>
      </c>
      <c r="D217" s="40" t="n">
        <f aca="false">'Diagnosis &amp; Store Segmentation'!AH147</f>
        <v>3.27108152120945</v>
      </c>
      <c r="E217" s="40" t="n">
        <f aca="false">'Diagnosis &amp; Store Segmentation'!AI147</f>
        <v>35.2369436436882</v>
      </c>
      <c r="F217" s="40" t="n">
        <f aca="false">'Diagnosis &amp; Store Segmentation'!AK147</f>
        <v>0</v>
      </c>
      <c r="G217" s="40" t="n">
        <f aca="false">'Diagnosis &amp; Store Segmentation'!AM147</f>
        <v>0</v>
      </c>
      <c r="H217" s="40" t="n">
        <f aca="false">'Diagnosis &amp; Store Segmentation'!AO147</f>
        <v>0</v>
      </c>
      <c r="I217" s="40" t="n">
        <f aca="false">'Diagnosis &amp; Store Segmentation'!AV147</f>
        <v>1.17</v>
      </c>
      <c r="J217" s="40" t="n">
        <f aca="false">'Diagnosis &amp; Store Segmentation'!AL147</f>
        <v>0</v>
      </c>
      <c r="K217" s="39" t="n">
        <f aca="false">'Diagnosis &amp; Store Segmentation'!AR147*'Diagnosis &amp; Store Segmentation'!AU147</f>
        <v>0</v>
      </c>
      <c r="L217" s="39" t="n">
        <f aca="false">'Diagnosis &amp; Store Segmentation'!E147</f>
        <v>1288.23913043478</v>
      </c>
      <c r="M217" s="40" t="n">
        <f aca="false">'Diagnosis &amp; Store Segmentation'!F147</f>
        <v>226.1161436458</v>
      </c>
      <c r="N217" s="40" t="n">
        <f aca="false">'Diagnosis &amp; Store Segmentation'!AG147*100*'Diagnosis &amp; Store Segmentation'!F147</f>
        <v>304.772010143646</v>
      </c>
      <c r="O217" s="39" t="n">
        <f aca="false">'Diagnosis &amp; Store Segmentation'!BE147</f>
        <v>1474.38043478261</v>
      </c>
      <c r="P217" s="40" t="n">
        <f aca="false">'Diagnosis &amp; Store Segmentation'!T147</f>
        <v>1.3</v>
      </c>
      <c r="Q217" s="40" t="n">
        <f aca="false">'Diagnosis &amp; Store Segmentation'!BH147</f>
        <v>38.970534</v>
      </c>
      <c r="R217" s="40" t="n">
        <f aca="false">'Diagnosis &amp; Store Segmentation'!BI147</f>
        <v>125.678571428571</v>
      </c>
      <c r="S217" s="48" t="str">
        <f aca="false">'Diagnosis &amp; Store Segmentation'!BL147</f>
        <v>Relocate or resize</v>
      </c>
      <c r="T217" s="40" t="n">
        <f aca="false">INDEX('Diagnosis &amp; Store Segmentation'!$O$106:$O$165,MATCH('Diagnosis &amp; Store Segmentation'!BC147,'Diagnosis &amp; Store Segmentation'!$A$106:$A$165,0))</f>
        <v>-10.4597409421838</v>
      </c>
      <c r="U217" s="40" t="n">
        <f aca="false">IF(P217&lt;='Assumptions &amp; Data'!$C$74,MIN($C$13*L217,O217),0)</f>
        <v>579.707608695652</v>
      </c>
      <c r="V217" s="40" t="n">
        <f aca="false">-C217+U217*'Assumptions &amp; Data'!$C$63/'Assumptions &amp; Data'!$C$85*('Diagnosis &amp; Store Segmentation'!$B$12-'Assumptions &amp; Data'!$C$71)/100000</f>
        <v>0.12156103285368</v>
      </c>
      <c r="W217" s="40" t="n">
        <f aca="false">IF(V217&gt;0,Q217/V217,99)</f>
        <v>320.584097429542</v>
      </c>
      <c r="X217" s="40" t="n">
        <f aca="false">IF(AND(B217="Close",U217&gt;0,W217&lt;=$C$12,OR(S217&lt;&gt;"Close",C217&lt;T217)),1,0)</f>
        <v>0</v>
      </c>
      <c r="Y217" s="40" t="n">
        <f aca="false">(1-X217)*($C$6*(D217-$C$7*E217)+$C$8*F217+$C$9*G217+$C$10*H217+$C$11*I217)</f>
        <v>1.72226368327706</v>
      </c>
      <c r="Z217" s="40" t="n">
        <f aca="false">IF(X217=1,"closed",C217+Y217*(1-$C$14))</f>
        <v>11.125016543284</v>
      </c>
      <c r="AA217" s="40" t="n">
        <f aca="false">IF(P217&lt;='Assumptions &amp; Data'!$C$74,MIN($D$13*L217,O217),0)</f>
        <v>772.94347826087</v>
      </c>
      <c r="AB217" s="40" t="n">
        <f aca="false">-C217+AA217*'Assumptions &amp; Data'!$C$63/'Assumptions &amp; Data'!$C$85*('Diagnosis &amp; Store Segmentation'!$B$12-'Assumptions &amp; Data'!$C$71)/100000</f>
        <v>3.36522287780495</v>
      </c>
      <c r="AC217" s="40" t="n">
        <f aca="false">IF(AB217&gt;0,Q217/AB217,99)</f>
        <v>11.5803723601866</v>
      </c>
      <c r="AD217" s="40" t="n">
        <f aca="false">IF(AND(B217="Close",AA217&gt;0,AC217&lt;=$D$12,OR(S217&lt;&gt;"Close",C217&lt;T217)),1,0)</f>
        <v>0</v>
      </c>
      <c r="AE217" s="40" t="n">
        <f aca="false">(1-AD217)*($D$6*(D217-$D$7*E217)+$D$8*F217+$D$9*G217+$D$10*H217+$D$11*I217)</f>
        <v>2.6280984593408</v>
      </c>
      <c r="AF217" s="40" t="n">
        <f aca="false">IF(AD217=1,"closed",C217+AE217*(1-$D$14))</f>
        <v>12.0272750845937</v>
      </c>
      <c r="AG217" s="40" t="n">
        <f aca="false">IF(P217&lt;='Assumptions &amp; Data'!$C$74,MIN($E$13*L217,O217),0)</f>
        <v>901.767391304348</v>
      </c>
      <c r="AH217" s="40" t="n">
        <f aca="false">-C217+AG217*'Assumptions &amp; Data'!$C$63/'Assumptions &amp; Data'!$C$85*('Diagnosis &amp; Store Segmentation'!$B$12-'Assumptions &amp; Data'!$C$71)/100000</f>
        <v>5.52766410777247</v>
      </c>
      <c r="AI217" s="40" t="n">
        <f aca="false">IF(AH217&gt;0,Q217/AH217,99)</f>
        <v>7.05009082321109</v>
      </c>
      <c r="AJ217" s="40" t="n">
        <f aca="false">IF(AND(B217="Close",AG217&gt;0,AI217&lt;=$E$12,OR(S217&lt;&gt;"Close",C217&lt;T217)),1,0)</f>
        <v>0</v>
      </c>
      <c r="AK217" s="40" t="n">
        <f aca="false">(1-AJ217)*($E$6*(D217-$E$7*E217)+$E$8*F217+$E$9*G217+$E$10*H217+$E$11*I217)</f>
        <v>3.38975947834809</v>
      </c>
      <c r="AL217" s="40" t="n">
        <f aca="false">IF(AJ217=1,"closed",C217+AK217*(1-$E$14))</f>
        <v>12.8296960064308</v>
      </c>
    </row>
    <row r="218" customFormat="false" ht="15" hidden="false" customHeight="false" outlineLevel="0" collapsed="false">
      <c r="A218" s="48" t="str">
        <f aca="false">'Diagnosis &amp; Store Segmentation'!A148</f>
        <v>DS043</v>
      </c>
      <c r="B218" s="48" t="str">
        <f aca="false">'Diagnosis &amp; Store Segmentation'!BK148</f>
        <v>Turn around</v>
      </c>
      <c r="C218" s="40" t="n">
        <f aca="false">'Diagnosis &amp; Store Segmentation'!O148</f>
        <v>-4.43112944750383</v>
      </c>
      <c r="D218" s="40" t="n">
        <f aca="false">'Diagnosis &amp; Store Segmentation'!AH148</f>
        <v>1.37110948051306</v>
      </c>
      <c r="E218" s="40" t="n">
        <f aca="false">'Diagnosis &amp; Store Segmentation'!AI148</f>
        <v>9.94982832093132</v>
      </c>
      <c r="F218" s="40" t="n">
        <f aca="false">'Diagnosis &amp; Store Segmentation'!AK148</f>
        <v>0.876643260443125</v>
      </c>
      <c r="G218" s="40" t="n">
        <f aca="false">'Diagnosis &amp; Store Segmentation'!AM148</f>
        <v>0.312598019593289</v>
      </c>
      <c r="H218" s="40" t="n">
        <f aca="false">'Diagnosis &amp; Store Segmentation'!AO148</f>
        <v>0.733230718120344</v>
      </c>
      <c r="I218" s="40" t="n">
        <f aca="false">'Diagnosis &amp; Store Segmentation'!AV148</f>
        <v>0</v>
      </c>
      <c r="J218" s="40" t="n">
        <f aca="false">'Diagnosis &amp; Store Segmentation'!AL148</f>
        <v>1.58861983124384</v>
      </c>
      <c r="K218" s="39" t="n">
        <f aca="false">'Diagnosis &amp; Store Segmentation'!AR148*'Diagnosis &amp; Store Segmentation'!AU148</f>
        <v>0</v>
      </c>
      <c r="L218" s="39" t="n">
        <f aca="false">'Diagnosis &amp; Store Segmentation'!E148</f>
        <v>550.054347826087</v>
      </c>
      <c r="M218" s="40" t="n">
        <f aca="false">'Diagnosis &amp; Store Segmentation'!F148</f>
        <v>100.5075819978</v>
      </c>
      <c r="N218" s="40" t="n">
        <f aca="false">'Diagnosis &amp; Store Segmentation'!AG148*100*'Diagnosis &amp; Store Segmentation'!F148</f>
        <v>127.852425070356</v>
      </c>
      <c r="O218" s="39" t="n">
        <f aca="false">'Diagnosis &amp; Store Segmentation'!BE148</f>
        <v>645.434782608696</v>
      </c>
      <c r="P218" s="40" t="n">
        <f aca="false">'Diagnosis &amp; Store Segmentation'!T148</f>
        <v>3.6</v>
      </c>
      <c r="Q218" s="40" t="n">
        <f aca="false">'Diagnosis &amp; Store Segmentation'!BH148</f>
        <v>68.713536</v>
      </c>
      <c r="R218" s="40" t="n">
        <f aca="false">'Diagnosis &amp; Store Segmentation'!BI148</f>
        <v>142.071428571429</v>
      </c>
      <c r="S218" s="48" t="str">
        <f aca="false">'Diagnosis &amp; Store Segmentation'!BL148</f>
        <v>Optimise</v>
      </c>
      <c r="T218" s="40" t="n">
        <f aca="false">INDEX('Diagnosis &amp; Store Segmentation'!$O$106:$O$165,MATCH('Diagnosis &amp; Store Segmentation'!BC148,'Diagnosis &amp; Store Segmentation'!$A$106:$A$165,0))</f>
        <v>-0.630920178273398</v>
      </c>
      <c r="U218" s="40" t="n">
        <f aca="false">IF(P218&lt;='Assumptions &amp; Data'!$C$74,MIN($C$13*L218,O218),0)</f>
        <v>0</v>
      </c>
      <c r="V218" s="40" t="n">
        <f aca="false">-C218+U218*'Assumptions &amp; Data'!$C$63/'Assumptions &amp; Data'!$C$85*('Diagnosis &amp; Store Segmentation'!$B$12-'Assumptions &amp; Data'!$C$71)/100000</f>
        <v>4.43112944750383</v>
      </c>
      <c r="W218" s="40" t="n">
        <f aca="false">IF(V218&gt;0,Q218/V218,99)</f>
        <v>15.5070026308322</v>
      </c>
      <c r="X218" s="40" t="n">
        <f aca="false">IF(AND(B218="Close",U218&gt;0,W218&lt;=$C$12,OR(S218&lt;&gt;"Close",C218&lt;T218)),1,0)</f>
        <v>0</v>
      </c>
      <c r="Y218" s="40" t="n">
        <f aca="false">(1-X218)*($C$6*(D218-$C$7*E218)+$C$8*F218+$C$9*G218+$C$10*H218+$C$11*I218)</f>
        <v>1.30659675530022</v>
      </c>
      <c r="Z218" s="40" t="n">
        <f aca="false">IF(X218=1,"closed",C218+Y218*(1-$C$14))</f>
        <v>-3.28132430283964</v>
      </c>
      <c r="AA218" s="40" t="n">
        <f aca="false">IF(P218&lt;='Assumptions &amp; Data'!$C$74,MIN($D$13*L218,O218),0)</f>
        <v>0</v>
      </c>
      <c r="AB218" s="40" t="n">
        <f aca="false">-C218+AA218*'Assumptions &amp; Data'!$C$63/'Assumptions &amp; Data'!$C$85*('Diagnosis &amp; Store Segmentation'!$B$12-'Assumptions &amp; Data'!$C$71)/100000</f>
        <v>4.43112944750383</v>
      </c>
      <c r="AC218" s="40" t="n">
        <f aca="false">IF(AB218&gt;0,Q218/AB218,99)</f>
        <v>15.5070026308322</v>
      </c>
      <c r="AD218" s="40" t="n">
        <f aca="false">IF(AND(B218="Close",AA218&gt;0,AC218&lt;=$D$12,OR(S218&lt;&gt;"Close",C218&lt;T218)),1,0)</f>
        <v>0</v>
      </c>
      <c r="AE218" s="40" t="n">
        <f aca="false">(1-AD218)*($D$6*(D218-$D$7*E218)+$D$8*F218+$D$9*G218+$D$10*H218+$D$11*I218)</f>
        <v>1.97028796519464</v>
      </c>
      <c r="AF218" s="40" t="n">
        <f aca="false">IF(AD218=1,"closed",C218+AE218*(1-$D$14))</f>
        <v>-2.61846451952476</v>
      </c>
      <c r="AG218" s="40" t="n">
        <f aca="false">IF(P218&lt;='Assumptions &amp; Data'!$C$74,MIN($E$13*L218,O218),0)</f>
        <v>0</v>
      </c>
      <c r="AH218" s="40" t="n">
        <f aca="false">-C218+AG218*'Assumptions &amp; Data'!$C$63/'Assumptions &amp; Data'!$C$85*('Diagnosis &amp; Store Segmentation'!$B$12-'Assumptions &amp; Data'!$C$71)/100000</f>
        <v>4.43112944750383</v>
      </c>
      <c r="AI218" s="40" t="n">
        <f aca="false">IF(AH218&gt;0,Q218/AH218,99)</f>
        <v>15.5070026308322</v>
      </c>
      <c r="AJ218" s="40" t="n">
        <f aca="false">IF(AND(B218="Close",AG218&gt;0,AI218&lt;=$E$12,OR(S218&lt;&gt;"Close",C218&lt;T218)),1,0)</f>
        <v>0</v>
      </c>
      <c r="AK218" s="40" t="n">
        <f aca="false">(1-AJ218)*($E$6*(D218-$E$7*E218)+$E$8*F218+$E$9*G218+$E$10*H218+$E$11*I218)</f>
        <v>2.4747725067321</v>
      </c>
      <c r="AL218" s="40" t="n">
        <f aca="false">IF(AJ218=1,"closed",C218+AK218*(1-$E$14))</f>
        <v>-2.08009556610834</v>
      </c>
    </row>
    <row r="219" customFormat="false" ht="15" hidden="false" customHeight="false" outlineLevel="0" collapsed="false">
      <c r="A219" s="48" t="str">
        <f aca="false">'Diagnosis &amp; Store Segmentation'!A149</f>
        <v>DS044</v>
      </c>
      <c r="B219" s="48" t="str">
        <f aca="false">'Diagnosis &amp; Store Segmentation'!BK149</f>
        <v>Turn around</v>
      </c>
      <c r="C219" s="40" t="n">
        <f aca="false">'Diagnosis &amp; Store Segmentation'!O149</f>
        <v>-4.93282626810161</v>
      </c>
      <c r="D219" s="40" t="n">
        <f aca="false">'Diagnosis &amp; Store Segmentation'!AH149</f>
        <v>0.608076072045299</v>
      </c>
      <c r="E219" s="40" t="n">
        <f aca="false">'Diagnosis &amp; Store Segmentation'!AI149</f>
        <v>4.431221497898</v>
      </c>
      <c r="F219" s="40" t="n">
        <f aca="false">'Diagnosis &amp; Store Segmentation'!AK149</f>
        <v>0.635431867370673</v>
      </c>
      <c r="G219" s="40" t="n">
        <f aca="false">'Diagnosis &amp; Store Segmentation'!AM149</f>
        <v>0.422323600152721</v>
      </c>
      <c r="H219" s="40" t="n">
        <f aca="false">'Diagnosis &amp; Store Segmentation'!AO149</f>
        <v>0.307554917154887</v>
      </c>
      <c r="I219" s="40" t="n">
        <f aca="false">'Diagnosis &amp; Store Segmentation'!AV149</f>
        <v>2.97153177309053</v>
      </c>
      <c r="J219" s="40" t="n">
        <f aca="false">'Diagnosis &amp; Store Segmentation'!AL149</f>
        <v>2.14624407178846</v>
      </c>
      <c r="K219" s="39" t="n">
        <f aca="false">'Diagnosis &amp; Store Segmentation'!AR149*'Diagnosis &amp; Store Segmentation'!AU149</f>
        <v>1370.40905622349</v>
      </c>
      <c r="L219" s="39" t="n">
        <f aca="false">'Diagnosis &amp; Store Segmentation'!E149</f>
        <v>554.239130434783</v>
      </c>
      <c r="M219" s="40" t="n">
        <f aca="false">'Diagnosis &amp; Store Segmentation'!F149</f>
        <v>93.8209524744</v>
      </c>
      <c r="N219" s="40" t="n">
        <f aca="false">'Diagnosis &amp; Store Segmentation'!AG149*100*'Diagnosis &amp; Store Segmentation'!F149</f>
        <v>57.1049294806902</v>
      </c>
      <c r="O219" s="39" t="n">
        <f aca="false">'Diagnosis &amp; Store Segmentation'!BE149</f>
        <v>370.891304347826</v>
      </c>
      <c r="P219" s="40" t="n">
        <f aca="false">'Diagnosis &amp; Store Segmentation'!T149</f>
        <v>3.1</v>
      </c>
      <c r="Q219" s="40" t="n">
        <f aca="false">'Diagnosis &amp; Store Segmentation'!BH149</f>
        <v>7.151706</v>
      </c>
      <c r="R219" s="40" t="n">
        <f aca="false">'Diagnosis &amp; Store Segmentation'!BI149</f>
        <v>106.25</v>
      </c>
      <c r="S219" s="48" t="str">
        <f aca="false">'Diagnosis &amp; Store Segmentation'!BL149</f>
        <v>Optimise</v>
      </c>
      <c r="T219" s="40" t="n">
        <f aca="false">INDEX('Diagnosis &amp; Store Segmentation'!$O$106:$O$165,MATCH('Diagnosis &amp; Store Segmentation'!BC149,'Diagnosis &amp; Store Segmentation'!$A$106:$A$165,0))</f>
        <v>7.31818848181519</v>
      </c>
      <c r="U219" s="40" t="n">
        <f aca="false">IF(P219&lt;='Assumptions &amp; Data'!$C$74,MIN($C$13*L219,O219),0)</f>
        <v>0</v>
      </c>
      <c r="V219" s="40" t="n">
        <f aca="false">-C219+U219*'Assumptions &amp; Data'!$C$63/'Assumptions &amp; Data'!$C$85*('Diagnosis &amp; Store Segmentation'!$B$12-'Assumptions &amp; Data'!$C$71)/100000</f>
        <v>4.93282626810161</v>
      </c>
      <c r="W219" s="40" t="n">
        <f aca="false">IF(V219&gt;0,Q219/V219,99)</f>
        <v>1.44981915261174</v>
      </c>
      <c r="X219" s="40" t="n">
        <f aca="false">IF(AND(B219="Close",U219&gt;0,W219&lt;=$C$12,OR(S219&lt;&gt;"Close",C219&lt;T219)),1,0)</f>
        <v>0</v>
      </c>
      <c r="Y219" s="40" t="n">
        <f aca="false">(1-X219)*($C$6*(D219-$C$7*E219)+$C$8*F219+$C$9*G219+$C$10*H219+$C$11*I219)</f>
        <v>1.6776320688714</v>
      </c>
      <c r="Z219" s="40" t="n">
        <f aca="false">IF(X219=1,"closed",C219+Y219*(1-$C$14))</f>
        <v>-3.45651004749478</v>
      </c>
      <c r="AA219" s="40" t="n">
        <f aca="false">IF(P219&lt;='Assumptions &amp; Data'!$C$74,MIN($D$13*L219,O219),0)</f>
        <v>0</v>
      </c>
      <c r="AB219" s="40" t="n">
        <f aca="false">-C219+AA219*'Assumptions &amp; Data'!$C$63/'Assumptions &amp; Data'!$C$85*('Diagnosis &amp; Store Segmentation'!$B$12-'Assumptions &amp; Data'!$C$71)/100000</f>
        <v>4.93282626810161</v>
      </c>
      <c r="AC219" s="40" t="n">
        <f aca="false">IF(AB219&gt;0,Q219/AB219,99)</f>
        <v>1.44981915261174</v>
      </c>
      <c r="AD219" s="40" t="n">
        <f aca="false">IF(AND(B219="Close",AA219&gt;0,AC219&lt;=$D$12,OR(S219&lt;&gt;"Close",C219&lt;T219)),1,0)</f>
        <v>0</v>
      </c>
      <c r="AE219" s="40" t="n">
        <f aca="false">(1-AD219)*($D$6*(D219-$D$7*E219)+$D$8*F219+$D$9*G219+$D$10*H219+$D$11*I219)</f>
        <v>2.66883132558317</v>
      </c>
      <c r="AF219" s="40" t="n">
        <f aca="false">IF(AD219=1,"closed",C219+AE219*(1-$D$14))</f>
        <v>-2.4775014485651</v>
      </c>
      <c r="AG219" s="40" t="n">
        <f aca="false">IF(P219&lt;='Assumptions &amp; Data'!$C$74,MIN($E$13*L219,O219),0)</f>
        <v>0</v>
      </c>
      <c r="AH219" s="40" t="n">
        <f aca="false">-C219+AG219*'Assumptions &amp; Data'!$C$63/'Assumptions &amp; Data'!$C$85*('Diagnosis &amp; Store Segmentation'!$B$12-'Assumptions &amp; Data'!$C$71)/100000</f>
        <v>4.93282626810161</v>
      </c>
      <c r="AI219" s="40" t="n">
        <f aca="false">IF(AH219&gt;0,Q219/AH219,99)</f>
        <v>1.44981915261174</v>
      </c>
      <c r="AJ219" s="40" t="n">
        <f aca="false">IF(AND(B219="Close",AG219&gt;0,AI219&lt;=$E$12,OR(S219&lt;&gt;"Close",C219&lt;T219)),1,0)</f>
        <v>0</v>
      </c>
      <c r="AK219" s="40" t="n">
        <f aca="false">(1-AJ219)*($E$6*(D219-$E$7*E219)+$E$8*F219+$E$9*G219+$E$10*H219+$E$11*I219)</f>
        <v>3.56379843128261</v>
      </c>
      <c r="AL219" s="40" t="n">
        <f aca="false">IF(AJ219=1,"closed",C219+AK219*(1-$E$14))</f>
        <v>-1.54721775838314</v>
      </c>
    </row>
    <row r="220" customFormat="false" ht="15" hidden="false" customHeight="false" outlineLevel="0" collapsed="false">
      <c r="A220" s="48" t="str">
        <f aca="false">'Diagnosis &amp; Store Segmentation'!A150</f>
        <v>DS045</v>
      </c>
      <c r="B220" s="48" t="str">
        <f aca="false">'Diagnosis &amp; Store Segmentation'!BK150</f>
        <v>Turn around</v>
      </c>
      <c r="C220" s="40" t="n">
        <f aca="false">'Diagnosis &amp; Store Segmentation'!O150</f>
        <v>-0.6610739727204</v>
      </c>
      <c r="D220" s="40" t="n">
        <f aca="false">'Diagnosis &amp; Store Segmentation'!AH150</f>
        <v>0</v>
      </c>
      <c r="E220" s="40" t="n">
        <f aca="false">'Diagnosis &amp; Store Segmentation'!AI150</f>
        <v>0</v>
      </c>
      <c r="F220" s="40" t="n">
        <f aca="false">'Diagnosis &amp; Store Segmentation'!AK150</f>
        <v>0.147026731738669</v>
      </c>
      <c r="G220" s="40" t="n">
        <f aca="false">'Diagnosis &amp; Store Segmentation'!AM150</f>
        <v>0.441596236611955</v>
      </c>
      <c r="H220" s="40" t="n">
        <f aca="false">'Diagnosis &amp; Store Segmentation'!AO150</f>
        <v>0.427222226403853</v>
      </c>
      <c r="I220" s="40" t="n">
        <f aca="false">'Diagnosis &amp; Store Segmentation'!AV150</f>
        <v>0</v>
      </c>
      <c r="J220" s="40" t="n">
        <f aca="false">'Diagnosis &amp; Store Segmentation'!AL150</f>
        <v>2.24418740655215</v>
      </c>
      <c r="K220" s="39" t="n">
        <f aca="false">'Diagnosis &amp; Store Segmentation'!AR150*'Diagnosis &amp; Store Segmentation'!AU150</f>
        <v>0</v>
      </c>
      <c r="L220" s="39" t="n">
        <f aca="false">'Diagnosis &amp; Store Segmentation'!E150</f>
        <v>525.032608695652</v>
      </c>
      <c r="M220" s="40" t="n">
        <f aca="false">'Diagnosis &amp; Store Segmentation'!F150</f>
        <v>91.5193790340667</v>
      </c>
      <c r="N220" s="40" t="n">
        <f aca="false">'Diagnosis &amp; Store Segmentation'!AG150*100*'Diagnosis &amp; Store Segmentation'!F150</f>
        <v>0</v>
      </c>
      <c r="O220" s="39" t="n">
        <f aca="false">'Diagnosis &amp; Store Segmentation'!BE150</f>
        <v>0</v>
      </c>
      <c r="P220" s="40" t="n">
        <f aca="false">'Diagnosis &amp; Store Segmentation'!T150</f>
        <v>1.1</v>
      </c>
      <c r="Q220" s="40" t="n">
        <f aca="false">'Diagnosis &amp; Store Segmentation'!BH150</f>
        <v>67.393536</v>
      </c>
      <c r="R220" s="40" t="n">
        <f aca="false">'Diagnosis &amp; Store Segmentation'!BI150</f>
        <v>105.238095238095</v>
      </c>
      <c r="S220" s="48" t="str">
        <f aca="false">'Diagnosis &amp; Store Segmentation'!BL150</f>
        <v>Optimise</v>
      </c>
      <c r="T220" s="40" t="n">
        <f aca="false">INDEX('Diagnosis &amp; Store Segmentation'!$O$106:$O$165,MATCH('Diagnosis &amp; Store Segmentation'!BC150,'Diagnosis &amp; Store Segmentation'!$A$106:$A$165,0))</f>
        <v>11.9373968422115</v>
      </c>
      <c r="U220" s="40" t="n">
        <f aca="false">IF(P220&lt;='Assumptions &amp; Data'!$C$74,MIN($C$13*L220,O220),0)</f>
        <v>0</v>
      </c>
      <c r="V220" s="40" t="n">
        <f aca="false">-C220+U220*'Assumptions &amp; Data'!$C$63/'Assumptions &amp; Data'!$C$85*('Diagnosis &amp; Store Segmentation'!$B$12-'Assumptions &amp; Data'!$C$71)/100000</f>
        <v>0.6610739727204</v>
      </c>
      <c r="W220" s="40" t="n">
        <f aca="false">IF(V220&gt;0,Q220/V220,99)</f>
        <v>101.945529216144</v>
      </c>
      <c r="X220" s="40" t="n">
        <f aca="false">IF(AND(B220="Close",U220&gt;0,W220&lt;=$C$12,OR(S220&lt;&gt;"Close",C220&lt;T220)),1,0)</f>
        <v>0</v>
      </c>
      <c r="Y220" s="40" t="n">
        <f aca="false">(1-X220)*($C$6*(D220-$C$7*E220)+$C$8*F220+$C$9*G220+$C$10*H220+$C$11*I220)</f>
        <v>0.363615855261406</v>
      </c>
      <c r="Z220" s="40" t="n">
        <f aca="false">IF(X220=1,"closed",C220+Y220*(1-$C$14))</f>
        <v>-0.341092020090363</v>
      </c>
      <c r="AA220" s="40" t="n">
        <f aca="false">IF(P220&lt;='Assumptions &amp; Data'!$C$74,MIN($D$13*L220,O220),0)</f>
        <v>0</v>
      </c>
      <c r="AB220" s="40" t="n">
        <f aca="false">-C220+AA220*'Assumptions &amp; Data'!$C$63/'Assumptions &amp; Data'!$C$85*('Diagnosis &amp; Store Segmentation'!$B$12-'Assumptions &amp; Data'!$C$71)/100000</f>
        <v>0.6610739727204</v>
      </c>
      <c r="AC220" s="40" t="n">
        <f aca="false">IF(AB220&gt;0,Q220/AB220,99)</f>
        <v>101.945529216144</v>
      </c>
      <c r="AD220" s="40" t="n">
        <f aca="false">IF(AND(B220="Close",AA220&gt;0,AC220&lt;=$D$12,OR(S220&lt;&gt;"Close",C220&lt;T220)),1,0)</f>
        <v>0</v>
      </c>
      <c r="AE220" s="40" t="n">
        <f aca="false">(1-AD220)*($D$6*(D220-$D$7*E220)+$D$8*F220+$D$9*G220+$D$10*H220+$D$11*I220)</f>
        <v>0.566784894212301</v>
      </c>
      <c r="AF220" s="40" t="n">
        <f aca="false">IF(AD220=1,"closed",C220+AE220*(1-$D$14))</f>
        <v>-0.139631870045083</v>
      </c>
      <c r="AG220" s="40" t="n">
        <f aca="false">IF(P220&lt;='Assumptions &amp; Data'!$C$74,MIN($E$13*L220,O220),0)</f>
        <v>0</v>
      </c>
      <c r="AH220" s="40" t="n">
        <f aca="false">-C220+AG220*'Assumptions &amp; Data'!$C$63/'Assumptions &amp; Data'!$C$85*('Diagnosis &amp; Store Segmentation'!$B$12-'Assumptions &amp; Data'!$C$71)/100000</f>
        <v>0.6610739727204</v>
      </c>
      <c r="AI220" s="40" t="n">
        <f aca="false">IF(AH220&gt;0,Q220/AH220,99)</f>
        <v>101.945529216144</v>
      </c>
      <c r="AJ220" s="40" t="n">
        <f aca="false">IF(AND(B220="Close",AG220&gt;0,AI220&lt;=$E$12,OR(S220&lt;&gt;"Close",C220&lt;T220)),1,0)</f>
        <v>0</v>
      </c>
      <c r="AK220" s="40" t="n">
        <f aca="false">(1-AJ220)*($E$6*(D220-$E$7*E220)+$E$8*F220+$E$9*G220+$E$10*H220+$E$11*I220)</f>
        <v>0.719161673425472</v>
      </c>
      <c r="AL220" s="40" t="n">
        <f aca="false">IF(AJ220=1,"closed",C220+AK220*(1-$E$14))</f>
        <v>0.0221296170337993</v>
      </c>
    </row>
    <row r="221" customFormat="false" ht="15" hidden="false" customHeight="false" outlineLevel="0" collapsed="false">
      <c r="A221" s="48" t="str">
        <f aca="false">'Diagnosis &amp; Store Segmentation'!A151</f>
        <v>DS046</v>
      </c>
      <c r="B221" s="48" t="str">
        <f aca="false">'Diagnosis &amp; Store Segmentation'!BK151</f>
        <v>Optimise</v>
      </c>
      <c r="C221" s="40" t="n">
        <f aca="false">'Diagnosis &amp; Store Segmentation'!O151</f>
        <v>11.9373968422115</v>
      </c>
      <c r="D221" s="40" t="n">
        <f aca="false">'Diagnosis &amp; Store Segmentation'!AH151</f>
        <v>0</v>
      </c>
      <c r="E221" s="40" t="n">
        <f aca="false">'Diagnosis &amp; Store Segmentation'!AI151</f>
        <v>0</v>
      </c>
      <c r="F221" s="40" t="n">
        <f aca="false">'Diagnosis &amp; Store Segmentation'!AK151</f>
        <v>1.68544716255889</v>
      </c>
      <c r="G221" s="40" t="n">
        <f aca="false">'Diagnosis &amp; Store Segmentation'!AM151</f>
        <v>0</v>
      </c>
      <c r="H221" s="40" t="n">
        <f aca="false">'Diagnosis &amp; Store Segmentation'!AO151</f>
        <v>0.155631715559458</v>
      </c>
      <c r="I221" s="40" t="n">
        <f aca="false">'Diagnosis &amp; Store Segmentation'!AV151</f>
        <v>0.245</v>
      </c>
      <c r="J221" s="40" t="n">
        <f aca="false">'Diagnosis &amp; Store Segmentation'!AL151</f>
        <v>0</v>
      </c>
      <c r="K221" s="39" t="n">
        <f aca="false">'Diagnosis &amp; Store Segmentation'!AR151*'Diagnosis &amp; Store Segmentation'!AU151</f>
        <v>0</v>
      </c>
      <c r="L221" s="39" t="n">
        <f aca="false">'Diagnosis &amp; Store Segmentation'!E151</f>
        <v>1231.03260869565</v>
      </c>
      <c r="M221" s="40" t="n">
        <f aca="false">'Diagnosis &amp; Store Segmentation'!F151</f>
        <v>236.3583346693</v>
      </c>
      <c r="N221" s="40" t="n">
        <f aca="false">'Diagnosis &amp; Store Segmentation'!AG151*100*'Diagnosis &amp; Store Segmentation'!F151</f>
        <v>0</v>
      </c>
      <c r="O221" s="39" t="n">
        <f aca="false">'Diagnosis &amp; Store Segmentation'!BE151</f>
        <v>770.967391304348</v>
      </c>
      <c r="P221" s="40" t="n">
        <f aca="false">'Diagnosis &amp; Store Segmentation'!T151</f>
        <v>1.1</v>
      </c>
      <c r="Q221" s="40" t="n">
        <f aca="false">'Diagnosis &amp; Store Segmentation'!BH151</f>
        <v>32.173476</v>
      </c>
      <c r="R221" s="40" t="n">
        <f aca="false">'Diagnosis &amp; Store Segmentation'!BI151</f>
        <v>90.6666666666667</v>
      </c>
      <c r="S221" s="48" t="str">
        <f aca="false">'Diagnosis &amp; Store Segmentation'!BL151</f>
        <v>Turn around</v>
      </c>
      <c r="T221" s="40" t="n">
        <f aca="false">INDEX('Diagnosis &amp; Store Segmentation'!$O$106:$O$165,MATCH('Diagnosis &amp; Store Segmentation'!BC151,'Diagnosis &amp; Store Segmentation'!$A$106:$A$165,0))</f>
        <v>-0.6610739727204</v>
      </c>
      <c r="U221" s="40" t="n">
        <f aca="false">IF(P221&lt;='Assumptions &amp; Data'!$C$74,MIN($C$13*L221,O221),0)</f>
        <v>553.964673913044</v>
      </c>
      <c r="V221" s="40" t="n">
        <f aca="false">-C221+U221*'Assumptions &amp; Data'!$C$63/'Assumptions &amp; Data'!$C$85*('Diagnosis &amp; Store Segmentation'!$B$12-'Assumptions &amp; Data'!$C$71)/100000</f>
        <v>-2.63853281522933</v>
      </c>
      <c r="W221" s="40" t="n">
        <f aca="false">IF(V221&gt;0,Q221/V221,99)</f>
        <v>99</v>
      </c>
      <c r="X221" s="40" t="n">
        <f aca="false">IF(AND(B221="Close",U221&gt;0,W221&lt;=$C$12,OR(S221&lt;&gt;"Close",C221&lt;T221)),1,0)</f>
        <v>0</v>
      </c>
      <c r="Y221" s="40" t="n">
        <f aca="false">(1-X221)*($C$6*(D221-$C$7*E221)+$C$8*F221+$C$9*G221+$C$10*H221+$C$11*I221)</f>
        <v>0.794368379691392</v>
      </c>
      <c r="Z221" s="40" t="n">
        <f aca="false">IF(X221=1,"closed",C221+Y221*(1-$C$14))</f>
        <v>12.6364410163399</v>
      </c>
      <c r="AA221" s="40" t="n">
        <f aca="false">IF(P221&lt;='Assumptions &amp; Data'!$C$74,MIN($D$13*L221,O221),0)</f>
        <v>738.619565217391</v>
      </c>
      <c r="AB221" s="40" t="n">
        <f aca="false">-C221+AA221*'Assumptions &amp; Data'!$C$63/'Assumptions &amp; Data'!$C$85*('Diagnosis &amp; Store Segmentation'!$B$12-'Assumptions &amp; Data'!$C$71)/100000</f>
        <v>0.461088527098049</v>
      </c>
      <c r="AC221" s="40" t="n">
        <f aca="false">IF(AB221&gt;0,Q221/AB221,99)</f>
        <v>69.7772208787976</v>
      </c>
      <c r="AD221" s="40" t="n">
        <f aca="false">IF(AND(B221="Close",AA221&gt;0,AC221&lt;=$D$12,OR(S221&lt;&gt;"Close",C221&lt;T221)),1,0)</f>
        <v>0</v>
      </c>
      <c r="AE221" s="40" t="n">
        <f aca="false">(1-AD221)*($D$6*(D221-$D$7*E221)+$D$8*F221+$D$9*G221+$D$10*H221+$D$11*I221)</f>
        <v>1.21158415531506</v>
      </c>
      <c r="AF221" s="40" t="n">
        <f aca="false">IF(AD221=1,"closed",C221+AE221*(1-$D$14))</f>
        <v>13.0520542651013</v>
      </c>
      <c r="AG221" s="40" t="n">
        <f aca="false">IF(P221&lt;='Assumptions &amp; Data'!$C$74,MIN($E$13*L221,O221),0)</f>
        <v>770.967391304348</v>
      </c>
      <c r="AH221" s="40" t="n">
        <f aca="false">-C221+AG221*'Assumptions &amp; Data'!$C$63/'Assumptions &amp; Data'!$C$85*('Diagnosis &amp; Store Segmentation'!$B$12-'Assumptions &amp; Data'!$C$71)/100000</f>
        <v>1.00407989553013</v>
      </c>
      <c r="AI221" s="40" t="n">
        <f aca="false">IF(AH221&gt;0,Q221/AH221,99)</f>
        <v>32.0427449481131</v>
      </c>
      <c r="AJ221" s="40" t="n">
        <f aca="false">IF(AND(B221="Close",AG221&gt;0,AI221&lt;=$E$12,OR(S221&lt;&gt;"Close",C221&lt;T221)),1,0)</f>
        <v>0</v>
      </c>
      <c r="AK221" s="40" t="n">
        <f aca="false">(1-AJ221)*($E$6*(D221-$E$7*E221)+$E$8*F221+$E$9*G221+$E$10*H221+$E$11*I221)</f>
        <v>1.53674598703281</v>
      </c>
      <c r="AL221" s="40" t="n">
        <f aca="false">IF(AJ221=1,"closed",C221+AK221*(1-$E$14))</f>
        <v>13.3973055298927</v>
      </c>
    </row>
    <row r="222" customFormat="false" ht="15" hidden="false" customHeight="false" outlineLevel="0" collapsed="false">
      <c r="A222" s="48" t="str">
        <f aca="false">'Diagnosis &amp; Store Segmentation'!A152</f>
        <v>DS047</v>
      </c>
      <c r="B222" s="48" t="str">
        <f aca="false">'Diagnosis &amp; Store Segmentation'!BK152</f>
        <v>Scale</v>
      </c>
      <c r="C222" s="40" t="n">
        <f aca="false">'Diagnosis &amp; Store Segmentation'!O152</f>
        <v>7.27380279689041</v>
      </c>
      <c r="D222" s="40" t="n">
        <f aca="false">'Diagnosis &amp; Store Segmentation'!AH152</f>
        <v>2.43950700666877</v>
      </c>
      <c r="E222" s="40" t="n">
        <f aca="false">'Diagnosis &amp; Store Segmentation'!AI152</f>
        <v>25.3630900807484</v>
      </c>
      <c r="F222" s="40" t="n">
        <f aca="false">'Diagnosis &amp; Store Segmentation'!AK152</f>
        <v>0</v>
      </c>
      <c r="G222" s="40" t="n">
        <f aca="false">'Diagnosis &amp; Store Segmentation'!AM152</f>
        <v>0</v>
      </c>
      <c r="H222" s="40" t="n">
        <f aca="false">'Diagnosis &amp; Store Segmentation'!AO152</f>
        <v>0</v>
      </c>
      <c r="I222" s="40" t="n">
        <f aca="false">'Diagnosis &amp; Store Segmentation'!AV152</f>
        <v>0.95</v>
      </c>
      <c r="J222" s="40" t="n">
        <f aca="false">'Diagnosis &amp; Store Segmentation'!AL152</f>
        <v>0</v>
      </c>
      <c r="K222" s="39" t="n">
        <f aca="false">'Diagnosis &amp; Store Segmentation'!AR152*'Diagnosis &amp; Store Segmentation'!AU152</f>
        <v>0</v>
      </c>
      <c r="L222" s="39" t="n">
        <f aca="false">'Diagnosis &amp; Store Segmentation'!E152</f>
        <v>1300.45652173913</v>
      </c>
      <c r="M222" s="40" t="n">
        <f aca="false">'Diagnosis &amp; Store Segmentation'!F152</f>
        <v>216.2124559901</v>
      </c>
      <c r="N222" s="40" t="n">
        <f aca="false">'Diagnosis &amp; Store Segmentation'!AG152*100*'Diagnosis &amp; Store Segmentation'!F152</f>
        <v>228.008358930767</v>
      </c>
      <c r="O222" s="39" t="n">
        <f aca="false">'Diagnosis &amp; Store Segmentation'!BE152</f>
        <v>318.152173913044</v>
      </c>
      <c r="P222" s="40" t="n">
        <f aca="false">'Diagnosis &amp; Store Segmentation'!T152</f>
        <v>3.3</v>
      </c>
      <c r="Q222" s="40" t="n">
        <f aca="false">'Diagnosis &amp; Store Segmentation'!BH152</f>
        <v>33.935733</v>
      </c>
      <c r="R222" s="40" t="n">
        <f aca="false">'Diagnosis &amp; Store Segmentation'!BI152</f>
        <v>105.238095238095</v>
      </c>
      <c r="S222" s="48" t="str">
        <f aca="false">'Diagnosis &amp; Store Segmentation'!BL152</f>
        <v>Optimise</v>
      </c>
      <c r="T222" s="40" t="n">
        <f aca="false">INDEX('Diagnosis &amp; Store Segmentation'!$O$106:$O$165,MATCH('Diagnosis &amp; Store Segmentation'!BC152,'Diagnosis &amp; Store Segmentation'!$A$106:$A$165,0))</f>
        <v>1.83177429724599</v>
      </c>
      <c r="U222" s="40" t="n">
        <f aca="false">IF(P222&lt;='Assumptions &amp; Data'!$C$74,MIN($C$13*L222,O222),0)</f>
        <v>0</v>
      </c>
      <c r="V222" s="40" t="n">
        <f aca="false">-C222+U222*'Assumptions &amp; Data'!$C$63/'Assumptions &amp; Data'!$C$85*('Diagnosis &amp; Store Segmentation'!$B$12-'Assumptions &amp; Data'!$C$71)/100000</f>
        <v>-7.27380279689041</v>
      </c>
      <c r="W222" s="40" t="n">
        <f aca="false">IF(V222&gt;0,Q222/V222,99)</f>
        <v>99</v>
      </c>
      <c r="X222" s="40" t="n">
        <f aca="false">IF(AND(B222="Close",U222&gt;0,W222&lt;=$C$12,OR(S222&lt;&gt;"Close",C222&lt;T222)),1,0)</f>
        <v>0</v>
      </c>
      <c r="Y222" s="40" t="n">
        <f aca="false">(1-X222)*($C$6*(D222-$C$7*E222)+$C$8*F222+$C$9*G222+$C$10*H222+$C$11*I222)</f>
        <v>1.31453032772877</v>
      </c>
      <c r="Z222" s="40" t="n">
        <f aca="false">IF(X222=1,"closed",C222+Y222*(1-$C$14))</f>
        <v>8.43058948529173</v>
      </c>
      <c r="AA222" s="40" t="n">
        <f aca="false">IF(P222&lt;='Assumptions &amp; Data'!$C$74,MIN($D$13*L222,O222),0)</f>
        <v>0</v>
      </c>
      <c r="AB222" s="40" t="n">
        <f aca="false">-C222+AA222*'Assumptions &amp; Data'!$C$63/'Assumptions &amp; Data'!$C$85*('Diagnosis &amp; Store Segmentation'!$B$12-'Assumptions &amp; Data'!$C$71)/100000</f>
        <v>-7.27380279689041</v>
      </c>
      <c r="AC222" s="40" t="n">
        <f aca="false">IF(AB222&gt;0,Q222/AB222,99)</f>
        <v>99</v>
      </c>
      <c r="AD222" s="40" t="n">
        <f aca="false">IF(AND(B222="Close",AA222&gt;0,AC222&lt;=$D$12,OR(S222&lt;&gt;"Close",C222&lt;T222)),1,0)</f>
        <v>0</v>
      </c>
      <c r="AE222" s="40" t="n">
        <f aca="false">(1-AD222)*($D$6*(D222-$D$7*E222)+$D$8*F222+$D$9*G222+$D$10*H222+$D$11*I222)</f>
        <v>2.0051132741029</v>
      </c>
      <c r="AF222" s="40" t="n">
        <f aca="false">IF(AD222=1,"closed",C222+AE222*(1-$D$14))</f>
        <v>9.11850700906508</v>
      </c>
      <c r="AG222" s="40" t="n">
        <f aca="false">IF(P222&lt;='Assumptions &amp; Data'!$C$74,MIN($E$13*L222,O222),0)</f>
        <v>0</v>
      </c>
      <c r="AH222" s="40" t="n">
        <f aca="false">-C222+AG222*'Assumptions &amp; Data'!$C$63/'Assumptions &amp; Data'!$C$85*('Diagnosis &amp; Store Segmentation'!$B$12-'Assumptions &amp; Data'!$C$71)/100000</f>
        <v>-7.27380279689041</v>
      </c>
      <c r="AI222" s="40" t="n">
        <f aca="false">IF(AH222&gt;0,Q222/AH222,99)</f>
        <v>99</v>
      </c>
      <c r="AJ222" s="40" t="n">
        <f aca="false">IF(AND(B222="Close",AG222&gt;0,AI222&lt;=$E$12,OR(S222&lt;&gt;"Close",C222&lt;T222)),1,0)</f>
        <v>0</v>
      </c>
      <c r="AK222" s="40" t="n">
        <f aca="false">(1-AJ222)*($E$6*(D222-$E$7*E222)+$E$8*F222+$E$9*G222+$E$10*H222+$E$11*I222)</f>
        <v>2.587670569688</v>
      </c>
      <c r="AL222" s="40" t="n">
        <f aca="false">IF(AJ222=1,"closed",C222+AK222*(1-$E$14))</f>
        <v>9.73208983809401</v>
      </c>
    </row>
    <row r="223" customFormat="false" ht="15" hidden="false" customHeight="false" outlineLevel="0" collapsed="false">
      <c r="A223" s="48" t="str">
        <f aca="false">'Diagnosis &amp; Store Segmentation'!A153</f>
        <v>DS048</v>
      </c>
      <c r="B223" s="48" t="str">
        <f aca="false">'Diagnosis &amp; Store Segmentation'!BK153</f>
        <v>Relocate or resize</v>
      </c>
      <c r="C223" s="40" t="n">
        <f aca="false">'Diagnosis &amp; Store Segmentation'!O153</f>
        <v>-5.48273711151992</v>
      </c>
      <c r="D223" s="40" t="n">
        <f aca="false">'Diagnosis &amp; Store Segmentation'!AH153</f>
        <v>0.337057885586041</v>
      </c>
      <c r="E223" s="40" t="n">
        <f aca="false">'Diagnosis &amp; Store Segmentation'!AI153</f>
        <v>2.24323624117713</v>
      </c>
      <c r="F223" s="40" t="n">
        <f aca="false">'Diagnosis &amp; Store Segmentation'!AK153</f>
        <v>1.04261276098216</v>
      </c>
      <c r="G223" s="40" t="n">
        <f aca="false">'Diagnosis &amp; Store Segmentation'!AM153</f>
        <v>1.12681790612277</v>
      </c>
      <c r="H223" s="40" t="n">
        <f aca="false">'Diagnosis &amp; Store Segmentation'!AO153</f>
        <v>0.706248114489866</v>
      </c>
      <c r="I223" s="40" t="n">
        <f aca="false">'Diagnosis &amp; Store Segmentation'!AV153</f>
        <v>0</v>
      </c>
      <c r="J223" s="40" t="n">
        <f aca="false">'Diagnosis &amp; Store Segmentation'!AL153</f>
        <v>5.72647668784441</v>
      </c>
      <c r="K223" s="39" t="n">
        <f aca="false">'Diagnosis &amp; Store Segmentation'!AR153*'Diagnosis &amp; Store Segmentation'!AU153</f>
        <v>0</v>
      </c>
      <c r="L223" s="39" t="n">
        <f aca="false">'Diagnosis &amp; Store Segmentation'!E153</f>
        <v>417.554347826087</v>
      </c>
      <c r="M223" s="40" t="n">
        <f aca="false">'Diagnosis &amp; Store Segmentation'!F153</f>
        <v>75.863433951</v>
      </c>
      <c r="N223" s="40" t="n">
        <f aca="false">'Diagnosis &amp; Store Segmentation'!AG153*100*'Diagnosis &amp; Store Segmentation'!F153</f>
        <v>31.7176194638888</v>
      </c>
      <c r="O223" s="39" t="n">
        <f aca="false">'Diagnosis &amp; Store Segmentation'!BE153</f>
        <v>856.467391304348</v>
      </c>
      <c r="P223" s="40" t="n">
        <f aca="false">'Diagnosis &amp; Store Segmentation'!T153</f>
        <v>1</v>
      </c>
      <c r="Q223" s="40" t="n">
        <f aca="false">'Diagnosis &amp; Store Segmentation'!BH153</f>
        <v>95.351547</v>
      </c>
      <c r="R223" s="40" t="n">
        <f aca="false">'Diagnosis &amp; Store Segmentation'!BI153</f>
        <v>103.416666666667</v>
      </c>
      <c r="S223" s="48" t="str">
        <f aca="false">'Diagnosis &amp; Store Segmentation'!BL153</f>
        <v>Turn around</v>
      </c>
      <c r="T223" s="40" t="n">
        <f aca="false">INDEX('Diagnosis &amp; Store Segmentation'!$O$106:$O$165,MATCH('Diagnosis &amp; Store Segmentation'!BC153,'Diagnosis &amp; Store Segmentation'!$A$106:$A$165,0))</f>
        <v>-3.13351495020376</v>
      </c>
      <c r="U223" s="40" t="n">
        <f aca="false">IF(P223&lt;='Assumptions &amp; Data'!$C$74,MIN($C$13*L223,O223),0)</f>
        <v>187.899456521739</v>
      </c>
      <c r="V223" s="40" t="n">
        <f aca="false">-C223+U223*'Assumptions &amp; Data'!$C$63/'Assumptions &amp; Data'!$C$85*('Diagnosis &amp; Store Segmentation'!$B$12-'Assumptions &amp; Data'!$C$71)/100000</f>
        <v>8.63682180178983</v>
      </c>
      <c r="W223" s="40" t="n">
        <f aca="false">IF(V223&gt;0,Q223/V223,99)</f>
        <v>11.0401197556536</v>
      </c>
      <c r="X223" s="40" t="n">
        <f aca="false">IF(AND(B223="Close",U223&gt;0,W223&lt;=$C$12,OR(S223&lt;&gt;"Close",C223&lt;T223)),1,0)</f>
        <v>0</v>
      </c>
      <c r="Y223" s="40" t="n">
        <f aca="false">(1-X223)*($C$6*(D223-$C$7*E223)+$C$8*F223+$C$9*G223+$C$10*H223+$C$11*I223)</f>
        <v>1.23135137217313</v>
      </c>
      <c r="Z223" s="40" t="n">
        <f aca="false">IF(X223=1,"closed",C223+Y223*(1-$C$14))</f>
        <v>-4.39914790400757</v>
      </c>
      <c r="AA223" s="40" t="n">
        <f aca="false">IF(P223&lt;='Assumptions &amp; Data'!$C$74,MIN($D$13*L223,O223),0)</f>
        <v>250.532608695652</v>
      </c>
      <c r="AB223" s="40" t="n">
        <f aca="false">-C223+AA223*'Assumptions &amp; Data'!$C$63/'Assumptions &amp; Data'!$C$85*('Diagnosis &amp; Store Segmentation'!$B$12-'Assumptions &amp; Data'!$C$71)/100000</f>
        <v>9.68818336521314</v>
      </c>
      <c r="AC223" s="40" t="n">
        <f aca="false">IF(AB223&gt;0,Q223/AB223,99)</f>
        <v>9.84204606844807</v>
      </c>
      <c r="AD223" s="40" t="n">
        <f aca="false">IF(AND(B223="Close",AA223&gt;0,AC223&lt;=$D$12,OR(S223&lt;&gt;"Close",C223&lt;T223)),1,0)</f>
        <v>0</v>
      </c>
      <c r="AE223" s="40" t="n">
        <f aca="false">(1-AD223)*($D$6*(D223-$D$7*E223)+$D$8*F223+$D$9*G223+$D$10*H223+$D$11*I223)</f>
        <v>1.87502032372988</v>
      </c>
      <c r="AF223" s="40" t="n">
        <f aca="false">IF(AD223=1,"closed",C223+AE223*(1-$D$14))</f>
        <v>-3.75771841368843</v>
      </c>
      <c r="AG223" s="40" t="n">
        <f aca="false">IF(P223&lt;='Assumptions &amp; Data'!$C$74,MIN($E$13*L223,O223),0)</f>
        <v>292.288043478261</v>
      </c>
      <c r="AH223" s="40" t="n">
        <f aca="false">-C223+AG223*'Assumptions &amp; Data'!$C$63/'Assumptions &amp; Data'!$C$85*('Diagnosis &amp; Store Segmentation'!$B$12-'Assumptions &amp; Data'!$C$71)/100000</f>
        <v>10.389091074162</v>
      </c>
      <c r="AI223" s="40" t="n">
        <f aca="false">IF(AH223&gt;0,Q223/AH223,99)</f>
        <v>9.17804515518612</v>
      </c>
      <c r="AJ223" s="40" t="n">
        <f aca="false">IF(AND(B223="Close",AG223&gt;0,AI223&lt;=$E$12,OR(S223&lt;&gt;"Close",C223&lt;T223)),1,0)</f>
        <v>0</v>
      </c>
      <c r="AK223" s="40" t="n">
        <f aca="false">(1-AJ223)*($E$6*(D223-$E$7*E223)+$E$8*F223+$E$9*G223+$E$10*H223+$E$11*I223)</f>
        <v>2.35928622186025</v>
      </c>
      <c r="AL223" s="40" t="n">
        <f aca="false">IF(AJ223=1,"closed",C223+AK223*(1-$E$14))</f>
        <v>-3.24141520075269</v>
      </c>
    </row>
    <row r="224" customFormat="false" ht="15" hidden="false" customHeight="false" outlineLevel="0" collapsed="false">
      <c r="A224" s="48" t="str">
        <f aca="false">'Diagnosis &amp; Store Segmentation'!A154</f>
        <v>DS049</v>
      </c>
      <c r="B224" s="48" t="str">
        <f aca="false">'Diagnosis &amp; Store Segmentation'!BK154</f>
        <v>Optimise</v>
      </c>
      <c r="C224" s="40" t="n">
        <f aca="false">'Diagnosis &amp; Store Segmentation'!O154</f>
        <v>1.83177429724599</v>
      </c>
      <c r="D224" s="40" t="n">
        <f aca="false">'Diagnosis &amp; Store Segmentation'!AH154</f>
        <v>0</v>
      </c>
      <c r="E224" s="40" t="n">
        <f aca="false">'Diagnosis &amp; Store Segmentation'!AI154</f>
        <v>0</v>
      </c>
      <c r="F224" s="40" t="n">
        <f aca="false">'Diagnosis &amp; Store Segmentation'!AK154</f>
        <v>0.0859040041318156</v>
      </c>
      <c r="G224" s="40" t="n">
        <f aca="false">'Diagnosis &amp; Store Segmentation'!AM154</f>
        <v>0.367929713347457</v>
      </c>
      <c r="H224" s="40" t="n">
        <f aca="false">'Diagnosis &amp; Store Segmentation'!AO154</f>
        <v>0.742413720321664</v>
      </c>
      <c r="I224" s="40" t="n">
        <f aca="false">'Diagnosis &amp; Store Segmentation'!AV154</f>
        <v>0.282851933584609</v>
      </c>
      <c r="J224" s="40" t="n">
        <f aca="false">'Diagnosis &amp; Store Segmentation'!AL154</f>
        <v>1.86981491401675</v>
      </c>
      <c r="K224" s="39" t="n">
        <f aca="false">'Diagnosis &amp; Store Segmentation'!AR154*'Diagnosis &amp; Store Segmentation'!AU154</f>
        <v>487.675747559671</v>
      </c>
      <c r="L224" s="39" t="n">
        <f aca="false">'Diagnosis &amp; Store Segmentation'!E154</f>
        <v>653.847826086957</v>
      </c>
      <c r="M224" s="40" t="n">
        <f aca="false">'Diagnosis &amp; Store Segmentation'!F154</f>
        <v>105.4331370232</v>
      </c>
      <c r="N224" s="40" t="n">
        <f aca="false">'Diagnosis &amp; Store Segmentation'!AG154*100*'Diagnosis &amp; Store Segmentation'!F154</f>
        <v>0</v>
      </c>
      <c r="O224" s="39" t="n">
        <f aca="false">'Diagnosis &amp; Store Segmentation'!BE154</f>
        <v>319.54347826087</v>
      </c>
      <c r="P224" s="40" t="n">
        <f aca="false">'Diagnosis &amp; Store Segmentation'!T154</f>
        <v>3.3</v>
      </c>
      <c r="Q224" s="40" t="n">
        <f aca="false">'Diagnosis &amp; Store Segmentation'!BH154</f>
        <v>14.794926</v>
      </c>
      <c r="R224" s="40" t="n">
        <f aca="false">'Diagnosis &amp; Store Segmentation'!BI154</f>
        <v>69.2142857142857</v>
      </c>
      <c r="S224" s="48" t="str">
        <f aca="false">'Diagnosis &amp; Store Segmentation'!BL154</f>
        <v>Scale</v>
      </c>
      <c r="T224" s="40" t="n">
        <f aca="false">INDEX('Diagnosis &amp; Store Segmentation'!$O$106:$O$165,MATCH('Diagnosis &amp; Store Segmentation'!BC154,'Diagnosis &amp; Store Segmentation'!$A$106:$A$165,0))</f>
        <v>7.27380279689041</v>
      </c>
      <c r="U224" s="40" t="n">
        <f aca="false">IF(P224&lt;='Assumptions &amp; Data'!$C$74,MIN($C$13*L224,O224),0)</f>
        <v>0</v>
      </c>
      <c r="V224" s="40" t="n">
        <f aca="false">-C224+U224*'Assumptions &amp; Data'!$C$63/'Assumptions &amp; Data'!$C$85*('Diagnosis &amp; Store Segmentation'!$B$12-'Assumptions &amp; Data'!$C$71)/100000</f>
        <v>-1.83177429724599</v>
      </c>
      <c r="W224" s="40" t="n">
        <f aca="false">IF(V224&gt;0,Q224/V224,99)</f>
        <v>99</v>
      </c>
      <c r="X224" s="40" t="n">
        <f aca="false">IF(AND(B224="Close",U224&gt;0,W224&lt;=$C$12,OR(S224&lt;&gt;"Close",C224&lt;T224)),1,0)</f>
        <v>0</v>
      </c>
      <c r="Y224" s="40" t="n">
        <f aca="false">(1-X224)*($C$6*(D224-$C$7*E224)+$C$8*F224+$C$9*G224+$C$10*H224+$C$11*I224)</f>
        <v>0.489113183163591</v>
      </c>
      <c r="Z224" s="40" t="n">
        <f aca="false">IF(X224=1,"closed",C224+Y224*(1-$C$14))</f>
        <v>2.26219389842995</v>
      </c>
      <c r="AA224" s="40" t="n">
        <f aca="false">IF(P224&lt;='Assumptions &amp; Data'!$C$74,MIN($D$13*L224,O224),0)</f>
        <v>0</v>
      </c>
      <c r="AB224" s="40" t="n">
        <f aca="false">-C224+AA224*'Assumptions &amp; Data'!$C$63/'Assumptions &amp; Data'!$C$85*('Diagnosis &amp; Store Segmentation'!$B$12-'Assumptions &amp; Data'!$C$71)/100000</f>
        <v>-1.83177429724599</v>
      </c>
      <c r="AC224" s="40" t="n">
        <f aca="false">IF(AB224&gt;0,Q224/AB224,99)</f>
        <v>99</v>
      </c>
      <c r="AD224" s="40" t="n">
        <f aca="false">IF(AND(B224="Close",AA224&gt;0,AC224&lt;=$D$12,OR(S224&lt;&gt;"Close",C224&lt;T224)),1,0)</f>
        <v>0</v>
      </c>
      <c r="AE224" s="40" t="n">
        <f aca="false">(1-AD224)*($D$6*(D224-$D$7*E224)+$D$8*F224+$D$9*G224+$D$10*H224+$D$11*I224)</f>
        <v>0.7849330574407</v>
      </c>
      <c r="AF224" s="40" t="n">
        <f aca="false">IF(AD224=1,"closed",C224+AE224*(1-$D$14))</f>
        <v>2.55391271009143</v>
      </c>
      <c r="AG224" s="40" t="n">
        <f aca="false">IF(P224&lt;='Assumptions &amp; Data'!$C$74,MIN($E$13*L224,O224),0)</f>
        <v>0</v>
      </c>
      <c r="AH224" s="40" t="n">
        <f aca="false">-C224+AG224*'Assumptions &amp; Data'!$C$63/'Assumptions &amp; Data'!$C$85*('Diagnosis &amp; Store Segmentation'!$B$12-'Assumptions &amp; Data'!$C$71)/100000</f>
        <v>-1.83177429724599</v>
      </c>
      <c r="AI224" s="40" t="n">
        <f aca="false">IF(AH224&gt;0,Q224/AH224,99)</f>
        <v>99</v>
      </c>
      <c r="AJ224" s="40" t="n">
        <f aca="false">IF(AND(B224="Close",AG224&gt;0,AI224&lt;=$E$12,OR(S224&lt;&gt;"Close",C224&lt;T224)),1,0)</f>
        <v>0</v>
      </c>
      <c r="AK224" s="40" t="n">
        <f aca="false">(1-AJ224)*($E$6*(D224-$E$7*E224)+$E$8*F224+$E$9*G224+$E$10*H224+$E$11*I224)</f>
        <v>1.02094055982776</v>
      </c>
      <c r="AL224" s="40" t="n">
        <f aca="false">IF(AJ224=1,"closed",C224+AK224*(1-$E$14))</f>
        <v>2.80166782908236</v>
      </c>
    </row>
    <row r="225" customFormat="false" ht="15" hidden="false" customHeight="false" outlineLevel="0" collapsed="false">
      <c r="A225" s="48" t="str">
        <f aca="false">'Diagnosis &amp; Store Segmentation'!A155</f>
        <v>DS050</v>
      </c>
      <c r="B225" s="48" t="str">
        <f aca="false">'Diagnosis &amp; Store Segmentation'!BK155</f>
        <v>Optimise</v>
      </c>
      <c r="C225" s="40" t="n">
        <f aca="false">'Diagnosis &amp; Store Segmentation'!O155</f>
        <v>-1.28870142177245</v>
      </c>
      <c r="D225" s="40" t="n">
        <f aca="false">'Diagnosis &amp; Store Segmentation'!AH155</f>
        <v>1.0326643433355</v>
      </c>
      <c r="E225" s="40" t="n">
        <f aca="false">'Diagnosis &amp; Store Segmentation'!AI155</f>
        <v>7.84518230499178</v>
      </c>
      <c r="F225" s="40" t="n">
        <f aca="false">'Diagnosis &amp; Store Segmentation'!AK155</f>
        <v>1.61978363742624</v>
      </c>
      <c r="G225" s="40" t="n">
        <f aca="false">'Diagnosis &amp; Store Segmentation'!AM155</f>
        <v>0</v>
      </c>
      <c r="H225" s="40" t="n">
        <f aca="false">'Diagnosis &amp; Store Segmentation'!AO155</f>
        <v>0.537586480814008</v>
      </c>
      <c r="I225" s="40" t="n">
        <f aca="false">'Diagnosis &amp; Store Segmentation'!AV155</f>
        <v>0</v>
      </c>
      <c r="J225" s="40" t="n">
        <f aca="false">'Diagnosis &amp; Store Segmentation'!AL155</f>
        <v>0</v>
      </c>
      <c r="K225" s="39" t="n">
        <f aca="false">'Diagnosis &amp; Store Segmentation'!AR155*'Diagnosis &amp; Store Segmentation'!AU155</f>
        <v>0</v>
      </c>
      <c r="L225" s="39" t="n">
        <f aca="false">'Diagnosis &amp; Store Segmentation'!E155</f>
        <v>685.489130434783</v>
      </c>
      <c r="M225" s="40" t="n">
        <f aca="false">'Diagnosis &amp; Store Segmentation'!F155</f>
        <v>120.628068538833</v>
      </c>
      <c r="N225" s="40" t="n">
        <f aca="false">'Diagnosis &amp; Store Segmentation'!AG155*100*'Diagnosis &amp; Store Segmentation'!F155</f>
        <v>96.7784131931809</v>
      </c>
      <c r="O225" s="39" t="n">
        <f aca="false">'Diagnosis &amp; Store Segmentation'!BE155</f>
        <v>996.173913043478</v>
      </c>
      <c r="P225" s="40" t="n">
        <f aca="false">'Diagnosis &amp; Store Segmentation'!T155</f>
        <v>1.4</v>
      </c>
      <c r="Q225" s="40" t="n">
        <f aca="false">'Diagnosis &amp; Store Segmentation'!BH155</f>
        <v>77.652621</v>
      </c>
      <c r="R225" s="40" t="n">
        <f aca="false">'Diagnosis &amp; Store Segmentation'!BI155</f>
        <v>107.666666666667</v>
      </c>
      <c r="S225" s="48" t="str">
        <f aca="false">'Diagnosis &amp; Store Segmentation'!BL155</f>
        <v>Relocate or resize</v>
      </c>
      <c r="T225" s="40" t="n">
        <f aca="false">INDEX('Diagnosis &amp; Store Segmentation'!$O$106:$O$165,MATCH('Diagnosis &amp; Store Segmentation'!BC155,'Diagnosis &amp; Store Segmentation'!$A$106:$A$165,0))</f>
        <v>-5.47067884551855</v>
      </c>
      <c r="U225" s="40" t="n">
        <f aca="false">IF(P225&lt;='Assumptions &amp; Data'!$C$74,MIN($C$13*L225,O225),0)</f>
        <v>308.470108695652</v>
      </c>
      <c r="V225" s="40" t="n">
        <f aca="false">-C225+U225*'Assumptions &amp; Data'!$C$63/'Assumptions &amp; Data'!$C$85*('Diagnosis &amp; Store Segmentation'!$B$12-'Assumptions &amp; Data'!$C$71)/100000</f>
        <v>6.46668791121335</v>
      </c>
      <c r="W225" s="40" t="n">
        <f aca="false">IF(V225&gt;0,Q225/V225,99)</f>
        <v>12.0080978185678</v>
      </c>
      <c r="X225" s="40" t="n">
        <f aca="false">IF(AND(B225="Close",U225&gt;0,W225&lt;=$C$12,OR(S225&lt;&gt;"Close",C225&lt;T225)),1,0)</f>
        <v>0</v>
      </c>
      <c r="Y225" s="40" t="n">
        <f aca="false">(1-X225)*($C$6*(D225-$C$7*E225)+$C$8*F225+$C$9*G225+$C$10*H225+$C$11*I225)</f>
        <v>1.26668270359501</v>
      </c>
      <c r="Z225" s="40" t="n">
        <f aca="false">IF(X225=1,"closed",C225+Y225*(1-$C$14))</f>
        <v>-0.174020642608844</v>
      </c>
      <c r="AA225" s="40" t="n">
        <f aca="false">IF(P225&lt;='Assumptions &amp; Data'!$C$74,MIN($D$13*L225,O225),0)</f>
        <v>411.29347826087</v>
      </c>
      <c r="AB225" s="40" t="n">
        <f aca="false">-C225+AA225*'Assumptions &amp; Data'!$C$63/'Assumptions &amp; Data'!$C$85*('Diagnosis &amp; Store Segmentation'!$B$12-'Assumptions &amp; Data'!$C$71)/100000</f>
        <v>8.19268340769365</v>
      </c>
      <c r="AC225" s="40" t="n">
        <f aca="false">IF(AB225&gt;0,Q225/AB225,99)</f>
        <v>9.4782889971163</v>
      </c>
      <c r="AD225" s="40" t="n">
        <f aca="false">IF(AND(B225="Close",AA225&gt;0,AC225&lt;=$D$12,OR(S225&lt;&gt;"Close",C225&lt;T225)),1,0)</f>
        <v>0</v>
      </c>
      <c r="AE225" s="40" t="n">
        <f aca="false">(1-AD225)*($D$6*(D225-$D$7*E225)+$D$8*F225+$D$9*G225+$D$10*H225+$D$11*I225)</f>
        <v>1.90861218706265</v>
      </c>
      <c r="AF225" s="40" t="n">
        <f aca="false">IF(AD225=1,"closed",C225+AE225*(1-$D$14))</f>
        <v>0.46722179032519</v>
      </c>
      <c r="AG225" s="40" t="n">
        <f aca="false">IF(P225&lt;='Assumptions &amp; Data'!$C$74,MIN($E$13*L225,O225),0)</f>
        <v>479.842391304348</v>
      </c>
      <c r="AH225" s="40" t="n">
        <f aca="false">-C225+AG225*'Assumptions &amp; Data'!$C$63/'Assumptions &amp; Data'!$C$85*('Diagnosis &amp; Store Segmentation'!$B$12-'Assumptions &amp; Data'!$C$71)/100000</f>
        <v>9.34334707201385</v>
      </c>
      <c r="AI225" s="40" t="n">
        <f aca="false">IF(AH225&gt;0,Q225/AH225,99)</f>
        <v>8.31100679462</v>
      </c>
      <c r="AJ225" s="40" t="n">
        <f aca="false">IF(AND(B225="Close",AG225&gt;0,AI225&lt;=$E$12,OR(S225&lt;&gt;"Close",C225&lt;T225)),1,0)</f>
        <v>0</v>
      </c>
      <c r="AK225" s="40" t="n">
        <f aca="false">(1-AJ225)*($E$6*(D225-$E$7*E225)+$E$8*F225+$E$9*G225+$E$10*H225+$E$11*I225)</f>
        <v>2.39535479771926</v>
      </c>
      <c r="AL225" s="40" t="n">
        <f aca="false">IF(AJ225=1,"closed",C225+AK225*(1-$E$14))</f>
        <v>0.986885636060843</v>
      </c>
    </row>
    <row r="226" customFormat="false" ht="15" hidden="false" customHeight="false" outlineLevel="0" collapsed="false">
      <c r="A226" s="48" t="str">
        <f aca="false">'Diagnosis &amp; Store Segmentation'!A156</f>
        <v>DS051</v>
      </c>
      <c r="B226" s="48" t="str">
        <f aca="false">'Diagnosis &amp; Store Segmentation'!BK156</f>
        <v>Scale</v>
      </c>
      <c r="C226" s="40" t="n">
        <f aca="false">'Diagnosis &amp; Store Segmentation'!O156</f>
        <v>5.8071557961489</v>
      </c>
      <c r="D226" s="40" t="n">
        <f aca="false">'Diagnosis &amp; Store Segmentation'!AH156</f>
        <v>0.0665959816268474</v>
      </c>
      <c r="E226" s="40" t="n">
        <f aca="false">'Diagnosis &amp; Store Segmentation'!AI156</f>
        <v>0.699696957720065</v>
      </c>
      <c r="F226" s="40" t="n">
        <f aca="false">'Diagnosis &amp; Store Segmentation'!AK156</f>
        <v>0</v>
      </c>
      <c r="G226" s="40" t="n">
        <f aca="false">'Diagnosis &amp; Store Segmentation'!AM156</f>
        <v>0.638762608666629</v>
      </c>
      <c r="H226" s="40" t="n">
        <f aca="false">'Diagnosis &amp; Store Segmentation'!AO156</f>
        <v>0</v>
      </c>
      <c r="I226" s="40" t="n">
        <f aca="false">'Diagnosis &amp; Store Segmentation'!AV156</f>
        <v>0</v>
      </c>
      <c r="J226" s="40" t="n">
        <f aca="false">'Diagnosis &amp; Store Segmentation'!AL156</f>
        <v>3.24618482517937</v>
      </c>
      <c r="K226" s="39" t="n">
        <f aca="false">'Diagnosis &amp; Store Segmentation'!AR156*'Diagnosis &amp; Store Segmentation'!AU156</f>
        <v>0</v>
      </c>
      <c r="L226" s="39" t="n">
        <f aca="false">'Diagnosis &amp; Store Segmentation'!E156</f>
        <v>1122.96739130435</v>
      </c>
      <c r="M226" s="40" t="n">
        <f aca="false">'Diagnosis &amp; Store Segmentation'!F156</f>
        <v>182.024499538</v>
      </c>
      <c r="N226" s="40" t="n">
        <f aca="false">'Diagnosis &amp; Store Segmentation'!AG156*100*'Diagnosis &amp; Store Segmentation'!F156</f>
        <v>6.2923160954077</v>
      </c>
      <c r="O226" s="39" t="n">
        <f aca="false">'Diagnosis &amp; Store Segmentation'!BE156</f>
        <v>312.521739130435</v>
      </c>
      <c r="P226" s="40" t="n">
        <f aca="false">'Diagnosis &amp; Store Segmentation'!T156</f>
        <v>3</v>
      </c>
      <c r="Q226" s="40" t="n">
        <f aca="false">'Diagnosis &amp; Store Segmentation'!BH156</f>
        <v>17.245344</v>
      </c>
      <c r="R226" s="40" t="n">
        <f aca="false">'Diagnosis &amp; Store Segmentation'!BI156</f>
        <v>106.857142857143</v>
      </c>
      <c r="S226" s="48" t="str">
        <f aca="false">'Diagnosis &amp; Store Segmentation'!BL156</f>
        <v>Optimise</v>
      </c>
      <c r="T226" s="40" t="n">
        <f aca="false">INDEX('Diagnosis &amp; Store Segmentation'!$O$106:$O$165,MATCH('Diagnosis &amp; Store Segmentation'!BC156,'Diagnosis &amp; Store Segmentation'!$A$106:$A$165,0))</f>
        <v>0.356237307994772</v>
      </c>
      <c r="U226" s="40" t="n">
        <f aca="false">IF(P226&lt;='Assumptions &amp; Data'!$C$74,MIN($C$13*L226,O226),0)</f>
        <v>0</v>
      </c>
      <c r="V226" s="40" t="n">
        <f aca="false">-C226+U226*'Assumptions &amp; Data'!$C$63/'Assumptions &amp; Data'!$C$85*('Diagnosis &amp; Store Segmentation'!$B$12-'Assumptions &amp; Data'!$C$71)/100000</f>
        <v>-5.8071557961489</v>
      </c>
      <c r="W226" s="40" t="n">
        <f aca="false">IF(V226&gt;0,Q226/V226,99)</f>
        <v>99</v>
      </c>
      <c r="X226" s="40" t="n">
        <f aca="false">IF(AND(B226="Close",U226&gt;0,W226&lt;=$C$12,OR(S226&lt;&gt;"Close",C226&lt;T226)),1,0)</f>
        <v>0</v>
      </c>
      <c r="Y226" s="40" t="n">
        <f aca="false">(1-X226)*($C$6*(D226-$C$7*E226)+$C$8*F226+$C$9*G226+$C$10*H226+$C$11*I226)</f>
        <v>0.283555307097175</v>
      </c>
      <c r="Z226" s="40" t="n">
        <f aca="false">IF(X226=1,"closed",C226+Y226*(1-$C$14))</f>
        <v>6.05668446639441</v>
      </c>
      <c r="AA226" s="40" t="n">
        <f aca="false">IF(P226&lt;='Assumptions &amp; Data'!$C$74,MIN($D$13*L226,O226),0)</f>
        <v>0</v>
      </c>
      <c r="AB226" s="40" t="n">
        <f aca="false">-C226+AA226*'Assumptions &amp; Data'!$C$63/'Assumptions &amp; Data'!$C$85*('Diagnosis &amp; Store Segmentation'!$B$12-'Assumptions &amp; Data'!$C$71)/100000</f>
        <v>-5.8071557961489</v>
      </c>
      <c r="AC226" s="40" t="n">
        <f aca="false">IF(AB226&gt;0,Q226/AB226,99)</f>
        <v>99</v>
      </c>
      <c r="AD226" s="40" t="n">
        <f aca="false">IF(AND(B226="Close",AA226&gt;0,AC226&lt;=$D$12,OR(S226&lt;&gt;"Close",C226&lt;T226)),1,0)</f>
        <v>0</v>
      </c>
      <c r="AE226" s="40" t="n">
        <f aca="false">(1-AD226)*($D$6*(D226-$D$7*E226)+$D$8*F226+$D$9*G226+$D$10*H226+$D$11*I226)</f>
        <v>0.42497687363473</v>
      </c>
      <c r="AF226" s="40" t="n">
        <f aca="false">IF(AD226=1,"closed",C226+AE226*(1-$D$14))</f>
        <v>6.19813451989285</v>
      </c>
      <c r="AG226" s="40" t="n">
        <f aca="false">IF(P226&lt;='Assumptions &amp; Data'!$C$74,MIN($E$13*L226,O226),0)</f>
        <v>0</v>
      </c>
      <c r="AH226" s="40" t="n">
        <f aca="false">-C226+AG226*'Assumptions &amp; Data'!$C$63/'Assumptions &amp; Data'!$C$85*('Diagnosis &amp; Store Segmentation'!$B$12-'Assumptions &amp; Data'!$C$71)/100000</f>
        <v>-5.8071557961489</v>
      </c>
      <c r="AI226" s="40" t="n">
        <f aca="false">IF(AH226&gt;0,Q226/AH226,99)</f>
        <v>99</v>
      </c>
      <c r="AJ226" s="40" t="n">
        <f aca="false">IF(AND(B226="Close",AG226&gt;0,AI226&lt;=$E$12,OR(S226&lt;&gt;"Close",C226&lt;T226)),1,0)</f>
        <v>0</v>
      </c>
      <c r="AK226" s="40" t="n">
        <f aca="false">(1-AJ226)*($E$6*(D226-$E$7*E226)+$E$8*F226+$E$9*G226+$E$10*H226+$E$11*I226)</f>
        <v>0.531515343984358</v>
      </c>
      <c r="AL226" s="40" t="n">
        <f aca="false">IF(AJ226=1,"closed",C226+AK226*(1-$E$14))</f>
        <v>6.31209537293404</v>
      </c>
    </row>
    <row r="227" customFormat="false" ht="15" hidden="false" customHeight="false" outlineLevel="0" collapsed="false">
      <c r="A227" s="48" t="str">
        <f aca="false">'Diagnosis &amp; Store Segmentation'!A157</f>
        <v>DS052</v>
      </c>
      <c r="B227" s="48" t="str">
        <f aca="false">'Diagnosis &amp; Store Segmentation'!BK157</f>
        <v>Turn around</v>
      </c>
      <c r="C227" s="40" t="n">
        <f aca="false">'Diagnosis &amp; Store Segmentation'!O157</f>
        <v>-3.13351495020376</v>
      </c>
      <c r="D227" s="40" t="n">
        <f aca="false">'Diagnosis &amp; Store Segmentation'!AH157</f>
        <v>1.83535522078474</v>
      </c>
      <c r="E227" s="40" t="n">
        <f aca="false">'Diagnosis &amp; Store Segmentation'!AI157</f>
        <v>14.0963770551485</v>
      </c>
      <c r="F227" s="40" t="n">
        <f aca="false">'Diagnosis &amp; Store Segmentation'!AK157</f>
        <v>0.769009525112703</v>
      </c>
      <c r="G227" s="40" t="n">
        <f aca="false">'Diagnosis &amp; Store Segmentation'!AM157</f>
        <v>1.16254464174776</v>
      </c>
      <c r="H227" s="40" t="n">
        <f aca="false">'Diagnosis &amp; Store Segmentation'!AO157</f>
        <v>0.920254159317552</v>
      </c>
      <c r="I227" s="40" t="n">
        <f aca="false">'Diagnosis &amp; Store Segmentation'!AV157</f>
        <v>0</v>
      </c>
      <c r="J227" s="40" t="n">
        <f aca="false">'Diagnosis &amp; Store Segmentation'!AL157</f>
        <v>5.9080395806398</v>
      </c>
      <c r="K227" s="39" t="n">
        <f aca="false">'Diagnosis &amp; Store Segmentation'!AR157*'Diagnosis &amp; Store Segmentation'!AU157</f>
        <v>0</v>
      </c>
      <c r="L227" s="39" t="n">
        <f aca="false">'Diagnosis &amp; Store Segmentation'!E157</f>
        <v>601.532608695652</v>
      </c>
      <c r="M227" s="40" t="n">
        <f aca="false">'Diagnosis &amp; Store Segmentation'!F157</f>
        <v>112.9072876153</v>
      </c>
      <c r="N227" s="40" t="n">
        <f aca="false">'Diagnosis &amp; Store Segmentation'!AG157*100*'Diagnosis &amp; Store Segmentation'!F157</f>
        <v>170.702006863012</v>
      </c>
      <c r="O227" s="39" t="n">
        <f aca="false">'Diagnosis &amp; Store Segmentation'!BE157</f>
        <v>716.445652173913</v>
      </c>
      <c r="P227" s="40" t="n">
        <f aca="false">'Diagnosis &amp; Store Segmentation'!T157</f>
        <v>1</v>
      </c>
      <c r="Q227" s="40" t="n">
        <f aca="false">'Diagnosis &amp; Store Segmentation'!BH157</f>
        <v>58.377342</v>
      </c>
      <c r="R227" s="40" t="n">
        <f aca="false">'Diagnosis &amp; Store Segmentation'!BI157</f>
        <v>140.25</v>
      </c>
      <c r="S227" s="48" t="str">
        <f aca="false">'Diagnosis &amp; Store Segmentation'!BL157</f>
        <v>Relocate or resize</v>
      </c>
      <c r="T227" s="40" t="n">
        <f aca="false">INDEX('Diagnosis &amp; Store Segmentation'!$O$106:$O$165,MATCH('Diagnosis &amp; Store Segmentation'!BC157,'Diagnosis &amp; Store Segmentation'!$A$106:$A$165,0))</f>
        <v>-5.48273711151992</v>
      </c>
      <c r="U227" s="40" t="n">
        <f aca="false">IF(P227&lt;='Assumptions &amp; Data'!$C$74,MIN($C$13*L227,O227),0)</f>
        <v>270.689673913043</v>
      </c>
      <c r="V227" s="40" t="n">
        <f aca="false">-C227+U227*'Assumptions &amp; Data'!$C$63/'Assumptions &amp; Data'!$C$85*('Diagnosis &amp; Store Segmentation'!$B$12-'Assumptions &amp; Data'!$C$71)/100000</f>
        <v>7.67731817405452</v>
      </c>
      <c r="W227" s="40" t="n">
        <f aca="false">IF(V227&gt;0,Q227/V227,99)</f>
        <v>7.60387164847304</v>
      </c>
      <c r="X227" s="40" t="n">
        <f aca="false">IF(AND(B227="Close",U227&gt;0,W227&lt;=$C$12,OR(S227&lt;&gt;"Close",C227&lt;T227)),1,0)</f>
        <v>0</v>
      </c>
      <c r="Y227" s="40" t="n">
        <f aca="false">(1-X227)*($C$6*(D227-$C$7*E227)+$C$8*F227+$C$9*G227+$C$10*H227+$C$11*I227)</f>
        <v>1.86065269701821</v>
      </c>
      <c r="Z227" s="40" t="n">
        <f aca="false">IF(X227=1,"closed",C227+Y227*(1-$C$14))</f>
        <v>-1.49614057682773</v>
      </c>
      <c r="AA227" s="40" t="n">
        <f aca="false">IF(P227&lt;='Assumptions &amp; Data'!$C$74,MIN($D$13*L227,O227),0)</f>
        <v>360.919565217391</v>
      </c>
      <c r="AB227" s="40" t="n">
        <f aca="false">-C227+AA227*'Assumptions &amp; Data'!$C$63/'Assumptions &amp; Data'!$C$85*('Diagnosis &amp; Store Segmentation'!$B$12-'Assumptions &amp; Data'!$C$71)/100000</f>
        <v>9.19191924867145</v>
      </c>
      <c r="AC227" s="40" t="n">
        <f aca="false">IF(AB227&gt;0,Q227/AB227,99)</f>
        <v>6.35094156298616</v>
      </c>
      <c r="AD227" s="40" t="n">
        <f aca="false">IF(AND(B227="Close",AA227&gt;0,AC227&lt;=$D$12,OR(S227&lt;&gt;"Close",C227&lt;T227)),1,0)</f>
        <v>0</v>
      </c>
      <c r="AE227" s="40" t="n">
        <f aca="false">(1-AD227)*($D$6*(D227-$D$7*E227)+$D$8*F227+$D$9*G227+$D$10*H227+$D$11*I227)</f>
        <v>2.80513359493833</v>
      </c>
      <c r="AF227" s="40" t="n">
        <f aca="false">IF(AD227=1,"closed",C227+AE227*(1-$D$14))</f>
        <v>-0.552792042860488</v>
      </c>
      <c r="AG227" s="40" t="n">
        <f aca="false">IF(P227&lt;='Assumptions &amp; Data'!$C$74,MIN($E$13*L227,O227),0)</f>
        <v>421.072826086956</v>
      </c>
      <c r="AH227" s="40" t="n">
        <f aca="false">-C227+AG227*'Assumptions &amp; Data'!$C$63/'Assumptions &amp; Data'!$C$85*('Diagnosis &amp; Store Segmentation'!$B$12-'Assumptions &amp; Data'!$C$71)/100000</f>
        <v>10.2016532984161</v>
      </c>
      <c r="AI227" s="40" t="n">
        <f aca="false">IF(AH227&gt;0,Q227/AH227,99)</f>
        <v>5.72234130021492</v>
      </c>
      <c r="AJ227" s="40" t="n">
        <f aca="false">IF(AND(B227="Close",AG227&gt;0,AI227&lt;=$E$12,OR(S227&lt;&gt;"Close",C227&lt;T227)),1,0)</f>
        <v>0</v>
      </c>
      <c r="AK227" s="40" t="n">
        <f aca="false">(1-AJ227)*($E$6*(D227-$E$7*E227)+$E$8*F227+$E$9*G227+$E$10*H227+$E$11*I227)</f>
        <v>3.52300932289065</v>
      </c>
      <c r="AL227" s="40" t="n">
        <f aca="false">IF(AJ227=1,"closed",C227+AK227*(1-$E$14))</f>
        <v>0.213343906542365</v>
      </c>
    </row>
    <row r="228" customFormat="false" ht="15" hidden="false" customHeight="false" outlineLevel="0" collapsed="false">
      <c r="A228" s="48" t="str">
        <f aca="false">'Diagnosis &amp; Store Segmentation'!A158</f>
        <v>DS053</v>
      </c>
      <c r="B228" s="48" t="str">
        <f aca="false">'Diagnosis &amp; Store Segmentation'!BK158</f>
        <v>Optimise</v>
      </c>
      <c r="C228" s="40" t="n">
        <f aca="false">'Diagnosis &amp; Store Segmentation'!O158</f>
        <v>0.356237307994772</v>
      </c>
      <c r="D228" s="40" t="n">
        <f aca="false">'Diagnosis &amp; Store Segmentation'!AH158</f>
        <v>0</v>
      </c>
      <c r="E228" s="40" t="n">
        <f aca="false">'Diagnosis &amp; Store Segmentation'!AI158</f>
        <v>0</v>
      </c>
      <c r="F228" s="40" t="n">
        <f aca="false">'Diagnosis &amp; Store Segmentation'!AK158</f>
        <v>2.14578002607901</v>
      </c>
      <c r="G228" s="40" t="n">
        <f aca="false">'Diagnosis &amp; Store Segmentation'!AM158</f>
        <v>0.470028979312268</v>
      </c>
      <c r="H228" s="40" t="n">
        <f aca="false">'Diagnosis &amp; Store Segmentation'!AO158</f>
        <v>0.59676102326511</v>
      </c>
      <c r="I228" s="40" t="n">
        <f aca="false">'Diagnosis &amp; Store Segmentation'!AV158</f>
        <v>0.414776972949212</v>
      </c>
      <c r="J228" s="40" t="n">
        <f aca="false">'Diagnosis &amp; Store Segmentation'!AL158</f>
        <v>2.38868230440576</v>
      </c>
      <c r="K228" s="39" t="n">
        <f aca="false">'Diagnosis &amp; Store Segmentation'!AR158*'Diagnosis &amp; Store Segmentation'!AU158</f>
        <v>466.041542639563</v>
      </c>
      <c r="L228" s="39" t="n">
        <f aca="false">'Diagnosis &amp; Store Segmentation'!E158</f>
        <v>659.478260869565</v>
      </c>
      <c r="M228" s="40" t="n">
        <f aca="false">'Diagnosis &amp; Store Segmentation'!F158</f>
        <v>120.502065810667</v>
      </c>
      <c r="N228" s="40" t="n">
        <f aca="false">'Diagnosis &amp; Store Segmentation'!AG158*100*'Diagnosis &amp; Store Segmentation'!F158</f>
        <v>0</v>
      </c>
      <c r="O228" s="39" t="n">
        <f aca="false">'Diagnosis &amp; Store Segmentation'!BE158</f>
        <v>173.032608695652</v>
      </c>
      <c r="P228" s="40" t="n">
        <f aca="false">'Diagnosis &amp; Store Segmentation'!T158</f>
        <v>3</v>
      </c>
      <c r="Q228" s="40" t="n">
        <f aca="false">'Diagnosis &amp; Store Segmentation'!BH158</f>
        <v>11.08794</v>
      </c>
      <c r="R228" s="40" t="n">
        <f aca="false">'Diagnosis &amp; Store Segmentation'!BI158</f>
        <v>77.7142857142857</v>
      </c>
      <c r="S228" s="48" t="str">
        <f aca="false">'Diagnosis &amp; Store Segmentation'!BL158</f>
        <v>Scale</v>
      </c>
      <c r="T228" s="40" t="n">
        <f aca="false">INDEX('Diagnosis &amp; Store Segmentation'!$O$106:$O$165,MATCH('Diagnosis &amp; Store Segmentation'!BC158,'Diagnosis &amp; Store Segmentation'!$A$106:$A$165,0))</f>
        <v>5.8071557961489</v>
      </c>
      <c r="U228" s="40" t="n">
        <f aca="false">IF(P228&lt;='Assumptions &amp; Data'!$C$74,MIN($C$13*L228,O228),0)</f>
        <v>0</v>
      </c>
      <c r="V228" s="40" t="n">
        <f aca="false">-C228+U228*'Assumptions &amp; Data'!$C$63/'Assumptions &amp; Data'!$C$85*('Diagnosis &amp; Store Segmentation'!$B$12-'Assumptions &amp; Data'!$C$71)/100000</f>
        <v>-0.356237307994772</v>
      </c>
      <c r="W228" s="40" t="n">
        <f aca="false">IF(V228&gt;0,Q228/V228,99)</f>
        <v>99</v>
      </c>
      <c r="X228" s="40" t="n">
        <f aca="false">IF(AND(B228="Close",U228&gt;0,W228&lt;=$C$12,OR(S228&lt;&gt;"Close",C228&lt;T228)),1,0)</f>
        <v>0</v>
      </c>
      <c r="Y228" s="40" t="n">
        <f aca="false">(1-X228)*($C$6*(D228-$C$7*E228)+$C$8*F228+$C$9*G228+$C$10*H228+$C$11*I228)</f>
        <v>1.34978500102081</v>
      </c>
      <c r="Z228" s="40" t="n">
        <f aca="false">IF(X228=1,"closed",C228+Y228*(1-$C$14))</f>
        <v>1.54404810889308</v>
      </c>
      <c r="AA228" s="40" t="n">
        <f aca="false">IF(P228&lt;='Assumptions &amp; Data'!$C$74,MIN($D$13*L228,O228),0)</f>
        <v>0</v>
      </c>
      <c r="AB228" s="40" t="n">
        <f aca="false">-C228+AA228*'Assumptions &amp; Data'!$C$63/'Assumptions &amp; Data'!$C$85*('Diagnosis &amp; Store Segmentation'!$B$12-'Assumptions &amp; Data'!$C$71)/100000</f>
        <v>-0.356237307994772</v>
      </c>
      <c r="AC228" s="40" t="n">
        <f aca="false">IF(AB228&gt;0,Q228/AB228,99)</f>
        <v>99</v>
      </c>
      <c r="AD228" s="40" t="n">
        <f aca="false">IF(AND(B228="Close",AA228&gt;0,AC228&lt;=$D$12,OR(S228&lt;&gt;"Close",C228&lt;T228)),1,0)</f>
        <v>0</v>
      </c>
      <c r="AE228" s="40" t="n">
        <f aca="false">(1-AD228)*($D$6*(D228-$D$7*E228)+$D$8*F228+$D$9*G228+$D$10*H228+$D$11*I228)</f>
        <v>2.07525440134193</v>
      </c>
      <c r="AF228" s="40" t="n">
        <f aca="false">IF(AD228=1,"closed",C228+AE228*(1-$D$14))</f>
        <v>2.26547135722935</v>
      </c>
      <c r="AG228" s="40" t="n">
        <f aca="false">IF(P228&lt;='Assumptions &amp; Data'!$C$74,MIN($E$13*L228,O228),0)</f>
        <v>0</v>
      </c>
      <c r="AH228" s="40" t="n">
        <f aca="false">-C228+AG228*'Assumptions &amp; Data'!$C$63/'Assumptions &amp; Data'!$C$85*('Diagnosis &amp; Store Segmentation'!$B$12-'Assumptions &amp; Data'!$C$71)/100000</f>
        <v>-0.356237307994772</v>
      </c>
      <c r="AI228" s="40" t="n">
        <f aca="false">IF(AH228&gt;0,Q228/AH228,99)</f>
        <v>99</v>
      </c>
      <c r="AJ228" s="40" t="n">
        <f aca="false">IF(AND(B228="Close",AG228&gt;0,AI228&lt;=$E$12,OR(S228&lt;&gt;"Close",C228&lt;T228)),1,0)</f>
        <v>0</v>
      </c>
      <c r="AK228" s="40" t="n">
        <f aca="false">(1-AJ228)*($E$6*(D228-$E$7*E228)+$E$8*F228+$E$9*G228+$E$10*H228+$E$11*I228)</f>
        <v>2.64009530023023</v>
      </c>
      <c r="AL228" s="40" t="n">
        <f aca="false">IF(AJ228=1,"closed",C228+AK228*(1-$E$14))</f>
        <v>2.86432784321349</v>
      </c>
    </row>
    <row r="229" customFormat="false" ht="15" hidden="false" customHeight="false" outlineLevel="0" collapsed="false">
      <c r="A229" s="48" t="str">
        <f aca="false">'Diagnosis &amp; Store Segmentation'!A159</f>
        <v>DS054</v>
      </c>
      <c r="B229" s="48" t="str">
        <f aca="false">'Diagnosis &amp; Store Segmentation'!BK159</f>
        <v>Relocate or resize</v>
      </c>
      <c r="C229" s="40" t="n">
        <f aca="false">'Diagnosis &amp; Store Segmentation'!O159</f>
        <v>-5.47067884551855</v>
      </c>
      <c r="D229" s="40" t="n">
        <f aca="false">'Diagnosis &amp; Store Segmentation'!AH159</f>
        <v>0.832870093670574</v>
      </c>
      <c r="E229" s="40" t="n">
        <f aca="false">'Diagnosis &amp; Store Segmentation'!AI159</f>
        <v>6.13773512748945</v>
      </c>
      <c r="F229" s="40" t="n">
        <f aca="false">'Diagnosis &amp; Store Segmentation'!AK159</f>
        <v>0.694789341067862</v>
      </c>
      <c r="G229" s="40" t="n">
        <f aca="false">'Diagnosis &amp; Store Segmentation'!AM159</f>
        <v>1.60263622723304</v>
      </c>
      <c r="H229" s="40" t="n">
        <f aca="false">'Diagnosis &amp; Store Segmentation'!AO159</f>
        <v>0.351298688144088</v>
      </c>
      <c r="I229" s="40" t="n">
        <f aca="false">'Diagnosis &amp; Store Segmentation'!AV159</f>
        <v>0</v>
      </c>
      <c r="J229" s="40" t="n">
        <f aca="false">'Diagnosis &amp; Store Segmentation'!AL159</f>
        <v>8.14458036607114</v>
      </c>
      <c r="K229" s="39" t="n">
        <f aca="false">'Diagnosis &amp; Store Segmentation'!AR159*'Diagnosis &amp; Store Segmentation'!AU159</f>
        <v>0</v>
      </c>
      <c r="L229" s="39" t="n">
        <f aca="false">'Diagnosis &amp; Store Segmentation'!E159</f>
        <v>299.826086956522</v>
      </c>
      <c r="M229" s="40" t="n">
        <f aca="false">'Diagnosis &amp; Store Segmentation'!F159</f>
        <v>53.0495918610667</v>
      </c>
      <c r="N229" s="40" t="n">
        <f aca="false">'Diagnosis &amp; Store Segmentation'!AG159*100*'Diagnosis &amp; Store Segmentation'!F159</f>
        <v>77.5056305071683</v>
      </c>
      <c r="O229" s="39" t="n">
        <f aca="false">'Diagnosis &amp; Store Segmentation'!BE159</f>
        <v>448.510869565217</v>
      </c>
      <c r="P229" s="40" t="n">
        <f aca="false">'Diagnosis &amp; Store Segmentation'!T159</f>
        <v>1.4</v>
      </c>
      <c r="Q229" s="40" t="n">
        <f aca="false">'Diagnosis &amp; Store Segmentation'!BH159</f>
        <v>80.353536</v>
      </c>
      <c r="R229" s="40" t="n">
        <f aca="false">'Diagnosis &amp; Store Segmentation'!BI159</f>
        <v>119.809523809524</v>
      </c>
      <c r="S229" s="48" t="str">
        <f aca="false">'Diagnosis &amp; Store Segmentation'!BL159</f>
        <v>Optimise</v>
      </c>
      <c r="T229" s="40" t="n">
        <f aca="false">INDEX('Diagnosis &amp; Store Segmentation'!$O$106:$O$165,MATCH('Diagnosis &amp; Store Segmentation'!BC159,'Diagnosis &amp; Store Segmentation'!$A$106:$A$165,0))</f>
        <v>-1.28870142177245</v>
      </c>
      <c r="U229" s="40" t="n">
        <f aca="false">IF(P229&lt;='Assumptions &amp; Data'!$C$74,MIN($C$13*L229,O229),0)</f>
        <v>134.921739130435</v>
      </c>
      <c r="V229" s="40" t="n">
        <f aca="false">-C229+U229*'Assumptions &amp; Data'!$C$63/'Assumptions &amp; Data'!$C$85*('Diagnosis &amp; Store Segmentation'!$B$12-'Assumptions &amp; Data'!$C$71)/100000</f>
        <v>7.73547832739816</v>
      </c>
      <c r="W229" s="40" t="n">
        <f aca="false">IF(V229&gt;0,Q229/V229,99)</f>
        <v>10.3876622232134</v>
      </c>
      <c r="X229" s="40" t="n">
        <f aca="false">IF(AND(B229="Close",U229&gt;0,W229&lt;=$C$12,OR(S229&lt;&gt;"Close",C229&lt;T229)),1,0)</f>
        <v>0</v>
      </c>
      <c r="Y229" s="40" t="n">
        <f aca="false">(1-X229)*($C$6*(D229-$C$7*E229)+$C$8*F229+$C$9*G229+$C$10*H229+$C$11*I229)</f>
        <v>1.3947618671427</v>
      </c>
      <c r="Z229" s="40" t="n">
        <f aca="false">IF(X229=1,"closed",C229+Y229*(1-$C$14))</f>
        <v>-4.24328840243297</v>
      </c>
      <c r="AA229" s="40" t="n">
        <f aca="false">IF(P229&lt;='Assumptions &amp; Data'!$C$74,MIN($D$13*L229,O229),0)</f>
        <v>179.895652173913</v>
      </c>
      <c r="AB229" s="40" t="n">
        <f aca="false">-C229+AA229*'Assumptions &amp; Data'!$C$63/'Assumptions &amp; Data'!$C$85*('Diagnosis &amp; Store Segmentation'!$B$12-'Assumptions &amp; Data'!$C$71)/100000</f>
        <v>8.4904114880247</v>
      </c>
      <c r="AC229" s="40" t="n">
        <f aca="false">IF(AB229&gt;0,Q229/AB229,99)</f>
        <v>9.46403317593437</v>
      </c>
      <c r="AD229" s="40" t="n">
        <f aca="false">IF(AND(B229="Close",AA229&gt;0,AC229&lt;=$D$12,OR(S229&lt;&gt;"Close",C229&lt;T229)),1,0)</f>
        <v>0</v>
      </c>
      <c r="AE229" s="40" t="n">
        <f aca="false">(1-AD229)*($D$6*(D229-$D$7*E229)+$D$8*F229+$D$9*G229+$D$10*H229+$D$11*I229)</f>
        <v>2.09414960472956</v>
      </c>
      <c r="AF229" s="40" t="n">
        <f aca="false">IF(AD229=1,"closed",C229+AE229*(1-$D$14))</f>
        <v>-3.54406120916735</v>
      </c>
      <c r="AG229" s="40" t="n">
        <f aca="false">IF(P229&lt;='Assumptions &amp; Data'!$C$74,MIN($E$13*L229,O229),0)</f>
        <v>209.878260869565</v>
      </c>
      <c r="AH229" s="40" t="n">
        <f aca="false">-C229+AG229*'Assumptions &amp; Data'!$C$63/'Assumptions &amp; Data'!$C$85*('Diagnosis &amp; Store Segmentation'!$B$12-'Assumptions &amp; Data'!$C$71)/100000</f>
        <v>8.99370026177572</v>
      </c>
      <c r="AI229" s="40" t="n">
        <f aca="false">IF(AH229&gt;0,Q229/AH229,99)</f>
        <v>8.93442450395105</v>
      </c>
      <c r="AJ229" s="40" t="n">
        <f aca="false">IF(AND(B229="Close",AG229&gt;0,AI229&lt;=$E$12,OR(S229&lt;&gt;"Close",C229&lt;T229)),1,0)</f>
        <v>0</v>
      </c>
      <c r="AK229" s="40" t="n">
        <f aca="false">(1-AJ229)*($E$6*(D229-$E$7*E229)+$E$8*F229+$E$9*G229+$E$10*H229+$E$11*I229)</f>
        <v>2.62283337913076</v>
      </c>
      <c r="AL229" s="40" t="n">
        <f aca="false">IF(AJ229=1,"closed",C229+AK229*(1-$E$14))</f>
        <v>-2.97898713534433</v>
      </c>
    </row>
    <row r="230" customFormat="false" ht="15" hidden="false" customHeight="false" outlineLevel="0" collapsed="false">
      <c r="A230" s="48" t="str">
        <f aca="false">'Diagnosis &amp; Store Segmentation'!A160</f>
        <v>DS055</v>
      </c>
      <c r="B230" s="48" t="str">
        <f aca="false">'Diagnosis &amp; Store Segmentation'!BK160</f>
        <v>Optimise</v>
      </c>
      <c r="C230" s="40" t="n">
        <f aca="false">'Diagnosis &amp; Store Segmentation'!O160</f>
        <v>12.9151004552847</v>
      </c>
      <c r="D230" s="40" t="n">
        <f aca="false">'Diagnosis &amp; Store Segmentation'!AH160</f>
        <v>1.85090932877335</v>
      </c>
      <c r="E230" s="40" t="n">
        <f aca="false">'Diagnosis &amp; Store Segmentation'!AI160</f>
        <v>20.5259202066834</v>
      </c>
      <c r="F230" s="40" t="n">
        <f aca="false">'Diagnosis &amp; Store Segmentation'!AK160</f>
        <v>0</v>
      </c>
      <c r="G230" s="40" t="n">
        <f aca="false">'Diagnosis &amp; Store Segmentation'!AM160</f>
        <v>0</v>
      </c>
      <c r="H230" s="40" t="n">
        <f aca="false">'Diagnosis &amp; Store Segmentation'!AO160</f>
        <v>0</v>
      </c>
      <c r="I230" s="40" t="n">
        <f aca="false">'Diagnosis &amp; Store Segmentation'!AV160</f>
        <v>0.04</v>
      </c>
      <c r="J230" s="40" t="n">
        <f aca="false">'Diagnosis &amp; Store Segmentation'!AL160</f>
        <v>0</v>
      </c>
      <c r="K230" s="39" t="n">
        <f aca="false">'Diagnosis &amp; Store Segmentation'!AR160*'Diagnosis &amp; Store Segmentation'!AU160</f>
        <v>0</v>
      </c>
      <c r="L230" s="39" t="n">
        <f aca="false">'Diagnosis &amp; Store Segmentation'!E160</f>
        <v>1182.86956521739</v>
      </c>
      <c r="M230" s="40" t="n">
        <f aca="false">'Diagnosis &amp; Store Segmentation'!F160</f>
        <v>194.7207951248</v>
      </c>
      <c r="N230" s="40" t="n">
        <f aca="false">'Diagnosis &amp; Store Segmentation'!AG160*100*'Diagnosis &amp; Store Segmentation'!F160</f>
        <v>173.299713542597</v>
      </c>
      <c r="O230" s="39" t="n">
        <f aca="false">'Diagnosis &amp; Store Segmentation'!BE160</f>
        <v>271.684782608696</v>
      </c>
      <c r="P230" s="40" t="n">
        <f aca="false">'Diagnosis &amp; Store Segmentation'!T160</f>
        <v>2.4</v>
      </c>
      <c r="Q230" s="40" t="n">
        <f aca="false">'Diagnosis &amp; Store Segmentation'!BH160</f>
        <v>12.489528</v>
      </c>
      <c r="R230" s="40" t="n">
        <f aca="false">'Diagnosis &amp; Store Segmentation'!BI160</f>
        <v>92.2857142857143</v>
      </c>
      <c r="S230" s="48" t="str">
        <f aca="false">'Diagnosis &amp; Store Segmentation'!BL160</f>
        <v>Scale</v>
      </c>
      <c r="T230" s="40" t="n">
        <f aca="false">INDEX('Diagnosis &amp; Store Segmentation'!$O$106:$O$165,MATCH('Diagnosis &amp; Store Segmentation'!BC160,'Diagnosis &amp; Store Segmentation'!$A$106:$A$165,0))</f>
        <v>13.3233875548413</v>
      </c>
      <c r="U230" s="40" t="n">
        <f aca="false">IF(P230&lt;='Assumptions &amp; Data'!$C$74,MIN($C$13*L230,O230),0)</f>
        <v>0</v>
      </c>
      <c r="V230" s="40" t="n">
        <f aca="false">-C230+U230*'Assumptions &amp; Data'!$C$63/'Assumptions &amp; Data'!$C$85*('Diagnosis &amp; Store Segmentation'!$B$12-'Assumptions &amp; Data'!$C$71)/100000</f>
        <v>-12.9151004552847</v>
      </c>
      <c r="W230" s="40" t="n">
        <f aca="false">IF(V230&gt;0,Q230/V230,99)</f>
        <v>99</v>
      </c>
      <c r="X230" s="40" t="n">
        <f aca="false">IF(AND(B230="Close",U230&gt;0,W230&lt;=$C$12,OR(S230&lt;&gt;"Close",C230&lt;T230)),1,0)</f>
        <v>0</v>
      </c>
      <c r="Y230" s="40" t="n">
        <f aca="false">(1-X230)*($C$6*(D230-$C$7*E230)+$C$8*F230+$C$9*G230+$C$10*H230+$C$11*I230)</f>
        <v>0.783510262836552</v>
      </c>
      <c r="Z230" s="40" t="n">
        <f aca="false">IF(X230=1,"closed",C230+Y230*(1-$C$14))</f>
        <v>13.6045894865809</v>
      </c>
      <c r="AA230" s="40" t="n">
        <f aca="false">IF(P230&lt;='Assumptions &amp; Data'!$C$74,MIN($D$13*L230,O230),0)</f>
        <v>0</v>
      </c>
      <c r="AB230" s="40" t="n">
        <f aca="false">-C230+AA230*'Assumptions &amp; Data'!$C$63/'Assumptions &amp; Data'!$C$85*('Diagnosis &amp; Store Segmentation'!$B$12-'Assumptions &amp; Data'!$C$71)/100000</f>
        <v>-12.9151004552847</v>
      </c>
      <c r="AC230" s="40" t="n">
        <f aca="false">IF(AB230&gt;0,Q230/AB230,99)</f>
        <v>99</v>
      </c>
      <c r="AD230" s="40" t="n">
        <f aca="false">IF(AND(B230="Close",AA230&gt;0,AC230&lt;=$D$12,OR(S230&lt;&gt;"Close",C230&lt;T230)),1,0)</f>
        <v>0</v>
      </c>
      <c r="AE230" s="40" t="n">
        <f aca="false">(1-AD230)*($D$6*(D230-$D$7*E230)+$D$8*F230+$D$9*G230+$D$10*H230+$D$11*I230)</f>
        <v>1.17195508869456</v>
      </c>
      <c r="AF230" s="40" t="n">
        <f aca="false">IF(AD230=1,"closed",C230+AE230*(1-$D$14))</f>
        <v>13.9932991368837</v>
      </c>
      <c r="AG230" s="40" t="n">
        <f aca="false">IF(P230&lt;='Assumptions &amp; Data'!$C$74,MIN($E$13*L230,O230),0)</f>
        <v>0</v>
      </c>
      <c r="AH230" s="40" t="n">
        <f aca="false">-C230+AG230*'Assumptions &amp; Data'!$C$63/'Assumptions &amp; Data'!$C$85*('Diagnosis &amp; Store Segmentation'!$B$12-'Assumptions &amp; Data'!$C$71)/100000</f>
        <v>-12.9151004552847</v>
      </c>
      <c r="AI230" s="40" t="n">
        <f aca="false">IF(AH230&gt;0,Q230/AH230,99)</f>
        <v>99</v>
      </c>
      <c r="AJ230" s="40" t="n">
        <f aca="false">IF(AND(B230="Close",AG230&gt;0,AI230&lt;=$E$12,OR(S230&lt;&gt;"Close",C230&lt;T230)),1,0)</f>
        <v>0</v>
      </c>
      <c r="AK230" s="40" t="n">
        <f aca="false">(1-AJ230)*($E$6*(D230-$E$7*E230)+$E$8*F230+$E$9*G230+$E$10*H230+$E$11*I230)</f>
        <v>1.47914370422759</v>
      </c>
      <c r="AL230" s="40" t="n">
        <f aca="false">IF(AJ230=1,"closed",C230+AK230*(1-$E$14))</f>
        <v>14.320286974301</v>
      </c>
    </row>
    <row r="231" customFormat="false" ht="15" hidden="false" customHeight="false" outlineLevel="0" collapsed="false">
      <c r="A231" s="48" t="str">
        <f aca="false">'Diagnosis &amp; Store Segmentation'!A161</f>
        <v>DS056</v>
      </c>
      <c r="B231" s="48" t="str">
        <f aca="false">'Diagnosis &amp; Store Segmentation'!BK161</f>
        <v>Optimise</v>
      </c>
      <c r="C231" s="40" t="n">
        <f aca="false">'Diagnosis &amp; Store Segmentation'!O161</f>
        <v>7.49377727163249</v>
      </c>
      <c r="D231" s="40" t="n">
        <f aca="false">'Diagnosis &amp; Store Segmentation'!AH161</f>
        <v>0</v>
      </c>
      <c r="E231" s="40" t="n">
        <f aca="false">'Diagnosis &amp; Store Segmentation'!AI161</f>
        <v>0</v>
      </c>
      <c r="F231" s="40" t="n">
        <f aca="false">'Diagnosis &amp; Store Segmentation'!AK161</f>
        <v>3.13111650510113</v>
      </c>
      <c r="G231" s="40" t="n">
        <f aca="false">'Diagnosis &amp; Store Segmentation'!AM161</f>
        <v>0.123522867966869</v>
      </c>
      <c r="H231" s="40" t="n">
        <f aca="false">'Diagnosis &amp; Store Segmentation'!AO161</f>
        <v>0</v>
      </c>
      <c r="I231" s="40" t="n">
        <f aca="false">'Diagnosis &amp; Store Segmentation'!AV161</f>
        <v>0</v>
      </c>
      <c r="J231" s="40" t="n">
        <f aca="false">'Diagnosis &amp; Store Segmentation'!AL161</f>
        <v>0.765068552111256</v>
      </c>
      <c r="K231" s="39" t="n">
        <f aca="false">'Diagnosis &amp; Store Segmentation'!AR161*'Diagnosis &amp; Store Segmentation'!AU161</f>
        <v>0</v>
      </c>
      <c r="L231" s="39" t="n">
        <f aca="false">'Diagnosis &amp; Store Segmentation'!E161</f>
        <v>1204.95652173913</v>
      </c>
      <c r="M231" s="40" t="n">
        <f aca="false">'Diagnosis &amp; Store Segmentation'!F161</f>
        <v>191.813099032367</v>
      </c>
      <c r="N231" s="40" t="n">
        <f aca="false">'Diagnosis &amp; Store Segmentation'!AG161*100*'Diagnosis &amp; Store Segmentation'!F161</f>
        <v>0</v>
      </c>
      <c r="O231" s="39" t="n">
        <f aca="false">'Diagnosis &amp; Store Segmentation'!BE161</f>
        <v>1315.45652173913</v>
      </c>
      <c r="P231" s="40" t="n">
        <f aca="false">'Diagnosis &amp; Store Segmentation'!T161</f>
        <v>2</v>
      </c>
      <c r="Q231" s="40" t="n">
        <f aca="false">'Diagnosis &amp; Store Segmentation'!BH161</f>
        <v>47.35851</v>
      </c>
      <c r="R231" s="40" t="n">
        <f aca="false">'Diagnosis &amp; Store Segmentation'!BI161</f>
        <v>102</v>
      </c>
      <c r="S231" s="48" t="str">
        <f aca="false">'Diagnosis &amp; Store Segmentation'!BL161</f>
        <v>Turn around</v>
      </c>
      <c r="T231" s="40" t="n">
        <f aca="false">INDEX('Diagnosis &amp; Store Segmentation'!$O$106:$O$165,MATCH('Diagnosis &amp; Store Segmentation'!BC161,'Diagnosis &amp; Store Segmentation'!$A$106:$A$165,0))</f>
        <v>-5.97558817329581</v>
      </c>
      <c r="U231" s="40" t="n">
        <f aca="false">IF(P231&lt;='Assumptions &amp; Data'!$C$74,MIN($C$13*L231,O231),0)</f>
        <v>542.230434782609</v>
      </c>
      <c r="V231" s="40" t="n">
        <f aca="false">-C231+U231*'Assumptions &amp; Data'!$C$63/'Assumptions &amp; Data'!$C$85*('Diagnosis &amp; Store Segmentation'!$B$12-'Assumptions &amp; Data'!$C$71)/100000</f>
        <v>1.60811554171025</v>
      </c>
      <c r="W231" s="40" t="n">
        <f aca="false">IF(V231&gt;0,Q231/V231,99)</f>
        <v>29.4496936144486</v>
      </c>
      <c r="X231" s="40" t="n">
        <f aca="false">IF(AND(B231="Close",U231&gt;0,W231&lt;=$C$12,OR(S231&lt;&gt;"Close",C231&lt;T231)),1,0)</f>
        <v>0</v>
      </c>
      <c r="Y231" s="40" t="n">
        <f aca="false">(1-X231)*($C$6*(D231-$C$7*E231)+$C$8*F231+$C$9*G231+$C$10*H231+$C$11*I231)</f>
        <v>1.3018557492272</v>
      </c>
      <c r="Z231" s="40" t="n">
        <f aca="false">IF(X231=1,"closed",C231+Y231*(1-$C$14))</f>
        <v>8.63941033095243</v>
      </c>
      <c r="AA231" s="40" t="n">
        <f aca="false">IF(P231&lt;='Assumptions &amp; Data'!$C$74,MIN($D$13*L231,O231),0)</f>
        <v>722.973913043478</v>
      </c>
      <c r="AB231" s="40" t="n">
        <f aca="false">-C231+AA231*'Assumptions &amp; Data'!$C$63/'Assumptions &amp; Data'!$C$85*('Diagnosis &amp; Store Segmentation'!$B$12-'Assumptions &amp; Data'!$C$71)/100000</f>
        <v>4.6420798128245</v>
      </c>
      <c r="AC231" s="40" t="n">
        <f aca="false">IF(AB231&gt;0,Q231/AB231,99)</f>
        <v>10.2020025310992</v>
      </c>
      <c r="AD231" s="40" t="n">
        <f aca="false">IF(AND(B231="Close",AA231&gt;0,AC231&lt;=$D$12,OR(S231&lt;&gt;"Close",C231&lt;T231)),1,0)</f>
        <v>0</v>
      </c>
      <c r="AE231" s="40" t="n">
        <f aca="false">(1-AD231)*($D$6*(D231-$D$7*E231)+$D$8*F231+$D$9*G231+$D$10*H231+$D$11*I231)</f>
        <v>1.9527836238408</v>
      </c>
      <c r="AF231" s="40" t="n">
        <f aca="false">IF(AD231=1,"closed",C231+AE231*(1-$D$14))</f>
        <v>9.29033820556603</v>
      </c>
      <c r="AG231" s="40" t="n">
        <f aca="false">IF(P231&lt;='Assumptions &amp; Data'!$C$74,MIN($E$13*L231,O231),0)</f>
        <v>843.469565217391</v>
      </c>
      <c r="AH231" s="40" t="n">
        <f aca="false">-C231+AG231*'Assumptions &amp; Data'!$C$63/'Assumptions &amp; Data'!$C$85*('Diagnosis &amp; Store Segmentation'!$B$12-'Assumptions &amp; Data'!$C$71)/100000</f>
        <v>6.664722660234</v>
      </c>
      <c r="AI231" s="40" t="n">
        <f aca="false">IF(AH231&gt;0,Q231/AH231,99)</f>
        <v>7.10584857230012</v>
      </c>
      <c r="AJ231" s="40" t="n">
        <f aca="false">IF(AND(B231="Close",AG231&gt;0,AI231&lt;=$E$12,OR(S231&lt;&gt;"Close",C231&lt;T231)),1,0)</f>
        <v>0</v>
      </c>
      <c r="AK231" s="40" t="n">
        <f aca="false">(1-AJ231)*($E$6*(D231-$E$7*E231)+$E$8*F231+$E$9*G231+$E$10*H231+$E$11*I231)</f>
        <v>2.440979529801</v>
      </c>
      <c r="AL231" s="40" t="n">
        <f aca="false">IF(AJ231=1,"closed",C231+AK231*(1-$E$14))</f>
        <v>9.81270782494344</v>
      </c>
    </row>
    <row r="232" customFormat="false" ht="15" hidden="false" customHeight="false" outlineLevel="0" collapsed="false">
      <c r="A232" s="48" t="str">
        <f aca="false">'Diagnosis &amp; Store Segmentation'!A162</f>
        <v>DS057</v>
      </c>
      <c r="B232" s="48" t="str">
        <f aca="false">'Diagnosis &amp; Store Segmentation'!BK162</f>
        <v>Optimise</v>
      </c>
      <c r="C232" s="40" t="n">
        <f aca="false">'Diagnosis &amp; Store Segmentation'!O162</f>
        <v>8.89915440020026</v>
      </c>
      <c r="D232" s="40" t="n">
        <f aca="false">'Diagnosis &amp; Store Segmentation'!AH162</f>
        <v>0</v>
      </c>
      <c r="E232" s="40" t="n">
        <f aca="false">'Diagnosis &amp; Store Segmentation'!AI162</f>
        <v>0</v>
      </c>
      <c r="F232" s="40" t="n">
        <f aca="false">'Diagnosis &amp; Store Segmentation'!AK162</f>
        <v>0</v>
      </c>
      <c r="G232" s="40" t="n">
        <f aca="false">'Diagnosis &amp; Store Segmentation'!AM162</f>
        <v>0</v>
      </c>
      <c r="H232" s="40" t="n">
        <f aca="false">'Diagnosis &amp; Store Segmentation'!AO162</f>
        <v>0</v>
      </c>
      <c r="I232" s="40" t="n">
        <f aca="false">'Diagnosis &amp; Store Segmentation'!AV162</f>
        <v>0</v>
      </c>
      <c r="J232" s="40" t="n">
        <f aca="false">'Diagnosis &amp; Store Segmentation'!AL162</f>
        <v>0</v>
      </c>
      <c r="K232" s="39" t="n">
        <f aca="false">'Diagnosis &amp; Store Segmentation'!AR162*'Diagnosis &amp; Store Segmentation'!AU162</f>
        <v>0</v>
      </c>
      <c r="L232" s="39" t="n">
        <f aca="false">'Diagnosis &amp; Store Segmentation'!E162</f>
        <v>1095.07608695652</v>
      </c>
      <c r="M232" s="40" t="n">
        <f aca="false">'Diagnosis &amp; Store Segmentation'!F162</f>
        <v>183.0753711868</v>
      </c>
      <c r="N232" s="40" t="n">
        <f aca="false">'Diagnosis &amp; Store Segmentation'!AG162*100*'Diagnosis &amp; Store Segmentation'!F162</f>
        <v>0</v>
      </c>
      <c r="O232" s="39" t="n">
        <f aca="false">'Diagnosis &amp; Store Segmentation'!BE162</f>
        <v>600.445652173913</v>
      </c>
      <c r="P232" s="40" t="n">
        <f aca="false">'Diagnosis &amp; Store Segmentation'!T162</f>
        <v>3.1</v>
      </c>
      <c r="Q232" s="40" t="n">
        <f aca="false">'Diagnosis &amp; Store Segmentation'!BH162</f>
        <v>88.465626</v>
      </c>
      <c r="R232" s="40" t="n">
        <f aca="false">'Diagnosis &amp; Store Segmentation'!BI162</f>
        <v>97.1428571428571</v>
      </c>
      <c r="S232" s="48" t="str">
        <f aca="false">'Diagnosis &amp; Store Segmentation'!BL162</f>
        <v>Scale</v>
      </c>
      <c r="T232" s="40" t="n">
        <f aca="false">INDEX('Diagnosis &amp; Store Segmentation'!$O$106:$O$165,MATCH('Diagnosis &amp; Store Segmentation'!BC162,'Diagnosis &amp; Store Segmentation'!$A$106:$A$165,0))</f>
        <v>4.00854037512132</v>
      </c>
      <c r="U232" s="40" t="n">
        <f aca="false">IF(P232&lt;='Assumptions &amp; Data'!$C$74,MIN($C$13*L232,O232),0)</f>
        <v>0</v>
      </c>
      <c r="V232" s="40" t="n">
        <f aca="false">-C232+U232*'Assumptions &amp; Data'!$C$63/'Assumptions &amp; Data'!$C$85*('Diagnosis &amp; Store Segmentation'!$B$12-'Assumptions &amp; Data'!$C$71)/100000</f>
        <v>-8.89915440020026</v>
      </c>
      <c r="W232" s="40" t="n">
        <f aca="false">IF(V232&gt;0,Q232/V232,99)</f>
        <v>99</v>
      </c>
      <c r="X232" s="40" t="n">
        <f aca="false">IF(AND(B232="Close",U232&gt;0,W232&lt;=$C$12,OR(S232&lt;&gt;"Close",C232&lt;T232)),1,0)</f>
        <v>0</v>
      </c>
      <c r="Y232" s="40" t="n">
        <f aca="false">(1-X232)*($C$6*(D232-$C$7*E232)+$C$8*F232+$C$9*G232+$C$10*H232+$C$11*I232)</f>
        <v>0</v>
      </c>
      <c r="Z232" s="40" t="n">
        <f aca="false">IF(X232=1,"closed",C232+Y232*(1-$C$14))</f>
        <v>8.89915440020026</v>
      </c>
      <c r="AA232" s="40" t="n">
        <f aca="false">IF(P232&lt;='Assumptions &amp; Data'!$C$74,MIN($D$13*L232,O232),0)</f>
        <v>0</v>
      </c>
      <c r="AB232" s="40" t="n">
        <f aca="false">-C232+AA232*'Assumptions &amp; Data'!$C$63/'Assumptions &amp; Data'!$C$85*('Diagnosis &amp; Store Segmentation'!$B$12-'Assumptions &amp; Data'!$C$71)/100000</f>
        <v>-8.89915440020026</v>
      </c>
      <c r="AC232" s="40" t="n">
        <f aca="false">IF(AB232&gt;0,Q232/AB232,99)</f>
        <v>99</v>
      </c>
      <c r="AD232" s="40" t="n">
        <f aca="false">IF(AND(B232="Close",AA232&gt;0,AC232&lt;=$D$12,OR(S232&lt;&gt;"Close",C232&lt;T232)),1,0)</f>
        <v>0</v>
      </c>
      <c r="AE232" s="40" t="n">
        <f aca="false">(1-AD232)*($D$6*(D232-$D$7*E232)+$D$8*F232+$D$9*G232+$D$10*H232+$D$11*I232)</f>
        <v>0</v>
      </c>
      <c r="AF232" s="40" t="n">
        <f aca="false">IF(AD232=1,"closed",C232+AE232*(1-$D$14))</f>
        <v>8.89915440020026</v>
      </c>
      <c r="AG232" s="40" t="n">
        <f aca="false">IF(P232&lt;='Assumptions &amp; Data'!$C$74,MIN($E$13*L232,O232),0)</f>
        <v>0</v>
      </c>
      <c r="AH232" s="40" t="n">
        <f aca="false">-C232+AG232*'Assumptions &amp; Data'!$C$63/'Assumptions &amp; Data'!$C$85*('Diagnosis &amp; Store Segmentation'!$B$12-'Assumptions &amp; Data'!$C$71)/100000</f>
        <v>-8.89915440020026</v>
      </c>
      <c r="AI232" s="40" t="n">
        <f aca="false">IF(AH232&gt;0,Q232/AH232,99)</f>
        <v>99</v>
      </c>
      <c r="AJ232" s="40" t="n">
        <f aca="false">IF(AND(B232="Close",AG232&gt;0,AI232&lt;=$E$12,OR(S232&lt;&gt;"Close",C232&lt;T232)),1,0)</f>
        <v>0</v>
      </c>
      <c r="AK232" s="40" t="n">
        <f aca="false">(1-AJ232)*($E$6*(D232-$E$7*E232)+$E$8*F232+$E$9*G232+$E$10*H232+$E$11*I232)</f>
        <v>0</v>
      </c>
      <c r="AL232" s="40" t="n">
        <f aca="false">IF(AJ232=1,"closed",C232+AK232*(1-$E$14))</f>
        <v>8.89915440020026</v>
      </c>
    </row>
    <row r="233" customFormat="false" ht="15" hidden="false" customHeight="false" outlineLevel="0" collapsed="false">
      <c r="A233" s="48" t="str">
        <f aca="false">'Diagnosis &amp; Store Segmentation'!A163</f>
        <v>DS058</v>
      </c>
      <c r="B233" s="48" t="str">
        <f aca="false">'Diagnosis &amp; Store Segmentation'!BK163</f>
        <v>Turn around</v>
      </c>
      <c r="C233" s="40" t="n">
        <f aca="false">'Diagnosis &amp; Store Segmentation'!O163</f>
        <v>-5.97558817329581</v>
      </c>
      <c r="D233" s="40" t="n">
        <f aca="false">'Diagnosis &amp; Store Segmentation'!AH163</f>
        <v>0.832164603067599</v>
      </c>
      <c r="E233" s="40" t="n">
        <f aca="false">'Diagnosis &amp; Store Segmentation'!AI163</f>
        <v>5.4064097356517</v>
      </c>
      <c r="F233" s="40" t="n">
        <f aca="false">'Diagnosis &amp; Store Segmentation'!AK163</f>
        <v>0.924278304491051</v>
      </c>
      <c r="G233" s="40" t="n">
        <f aca="false">'Diagnosis &amp; Store Segmentation'!AM163</f>
        <v>1.29501477924541</v>
      </c>
      <c r="H233" s="40" t="n">
        <f aca="false">'Diagnosis &amp; Store Segmentation'!AO163</f>
        <v>0.0282534149345412</v>
      </c>
      <c r="I233" s="40" t="n">
        <f aca="false">'Diagnosis &amp; Store Segmentation'!AV163</f>
        <v>2.80747886006735</v>
      </c>
      <c r="J233" s="40" t="n">
        <f aca="false">'Diagnosis &amp; Store Segmentation'!AL163</f>
        <v>8.0209850890582</v>
      </c>
      <c r="K233" s="39" t="n">
        <f aca="false">'Diagnosis &amp; Store Segmentation'!AR163*'Diagnosis &amp; Store Segmentation'!AU163</f>
        <v>3829.83175009354</v>
      </c>
      <c r="L233" s="39" t="n">
        <f aca="false">'Diagnosis &amp; Store Segmentation'!E163</f>
        <v>304.54347826087</v>
      </c>
      <c r="M233" s="40" t="n">
        <f aca="false">'Diagnosis &amp; Store Segmentation'!F163</f>
        <v>46.5903335066</v>
      </c>
      <c r="N233" s="40" t="n">
        <f aca="false">'Diagnosis &amp; Store Segmentation'!AG163*100*'Diagnosis &amp; Store Segmentation'!F163</f>
        <v>77.2755313039093</v>
      </c>
      <c r="O233" s="39" t="n">
        <f aca="false">'Diagnosis &amp; Store Segmentation'!BE163</f>
        <v>253.04347826087</v>
      </c>
      <c r="P233" s="40" t="n">
        <f aca="false">'Diagnosis &amp; Store Segmentation'!T163</f>
        <v>2</v>
      </c>
      <c r="Q233" s="40" t="n">
        <f aca="false">'Diagnosis &amp; Store Segmentation'!BH163</f>
        <v>19.274928</v>
      </c>
      <c r="R233" s="40" t="n">
        <f aca="false">'Diagnosis &amp; Store Segmentation'!BI163</f>
        <v>159.880952380952</v>
      </c>
      <c r="S233" s="48" t="str">
        <f aca="false">'Diagnosis &amp; Store Segmentation'!BL163</f>
        <v>Optimise</v>
      </c>
      <c r="T233" s="40" t="n">
        <f aca="false">INDEX('Diagnosis &amp; Store Segmentation'!$O$106:$O$165,MATCH('Diagnosis &amp; Store Segmentation'!BC163,'Diagnosis &amp; Store Segmentation'!$A$106:$A$165,0))</f>
        <v>7.49377727163249</v>
      </c>
      <c r="U233" s="40" t="n">
        <f aca="false">IF(P233&lt;='Assumptions &amp; Data'!$C$74,MIN($C$13*L233,O233),0)</f>
        <v>137.044565217391</v>
      </c>
      <c r="V233" s="40" t="n">
        <f aca="false">-C233+U233*'Assumptions &amp; Data'!$C$63/'Assumptions &amp; Data'!$C$85*('Diagnosis &amp; Store Segmentation'!$B$12-'Assumptions &amp; Data'!$C$71)/100000</f>
        <v>8.27602146372878</v>
      </c>
      <c r="W233" s="40" t="n">
        <f aca="false">IF(V233&gt;0,Q233/V233,99)</f>
        <v>2.32900894282065</v>
      </c>
      <c r="X233" s="40" t="n">
        <f aca="false">IF(AND(B233="Close",U233&gt;0,W233&lt;=$C$12,OR(S233&lt;&gt;"Close",C233&lt;T233)),1,0)</f>
        <v>0</v>
      </c>
      <c r="Y233" s="40" t="n">
        <f aca="false">(1-X233)*($C$6*(D233-$C$7*E233)+$C$8*F233+$C$9*G233+$C$10*H233+$C$11*I233)</f>
        <v>2.11397114451156</v>
      </c>
      <c r="Z233" s="40" t="n">
        <f aca="false">IF(X233=1,"closed",C233+Y233*(1-$C$14))</f>
        <v>-4.11529356612564</v>
      </c>
      <c r="AA233" s="40" t="n">
        <f aca="false">IF(P233&lt;='Assumptions &amp; Data'!$C$74,MIN($D$13*L233,O233),0)</f>
        <v>182.726086956522</v>
      </c>
      <c r="AB233" s="40" t="n">
        <f aca="false">-C233+AA233*'Assumptions &amp; Data'!$C$63/'Assumptions &amp; Data'!$C$85*('Diagnosis &amp; Store Segmentation'!$B$12-'Assumptions &amp; Data'!$C$71)/100000</f>
        <v>9.04283256053977</v>
      </c>
      <c r="AC233" s="40" t="n">
        <f aca="false">IF(AB233&gt;0,Q233/AB233,99)</f>
        <v>2.13151441995178</v>
      </c>
      <c r="AD233" s="40" t="n">
        <f aca="false">IF(AND(B233="Close",AA233&gt;0,AC233&lt;=$D$12,OR(S233&lt;&gt;"Close",C233&lt;T233)),1,0)</f>
        <v>0</v>
      </c>
      <c r="AE233" s="40" t="n">
        <f aca="false">(1-AD233)*($D$6*(D233-$D$7*E233)+$D$8*F233+$D$9*G233+$D$10*H233+$D$11*I233)</f>
        <v>3.29411234174058</v>
      </c>
      <c r="AF233" s="40" t="n">
        <f aca="false">IF(AD233=1,"closed",C233+AE233*(1-$D$14))</f>
        <v>-2.94500481889448</v>
      </c>
      <c r="AG233" s="40" t="n">
        <f aca="false">IF(P233&lt;='Assumptions &amp; Data'!$C$74,MIN($E$13*L233,O233),0)</f>
        <v>213.180434782609</v>
      </c>
      <c r="AH233" s="40" t="n">
        <f aca="false">-C233+AG233*'Assumptions &amp; Data'!$C$63/'Assumptions &amp; Data'!$C$85*('Diagnosis &amp; Store Segmentation'!$B$12-'Assumptions &amp; Data'!$C$71)/100000</f>
        <v>9.55403995841376</v>
      </c>
      <c r="AI233" s="40" t="n">
        <f aca="false">IF(AH233&gt;0,Q233/AH233,99)</f>
        <v>2.01746361580009</v>
      </c>
      <c r="AJ233" s="40" t="n">
        <f aca="false">IF(AND(B233="Close",AG233&gt;0,AI233&lt;=$E$12,OR(S233&lt;&gt;"Close",C233&lt;T233)),1,0)</f>
        <v>0</v>
      </c>
      <c r="AK233" s="40" t="n">
        <f aca="false">(1-AJ233)*($E$6*(D233-$E$7*E233)+$E$8*F233+$E$9*G233+$E$10*H233+$E$11*I233)</f>
        <v>4.32324150923727</v>
      </c>
      <c r="AL233" s="40" t="n">
        <f aca="false">IF(AJ233=1,"closed",C233+AK233*(1-$E$14))</f>
        <v>-1.8685087395204</v>
      </c>
    </row>
    <row r="234" customFormat="false" ht="15" hidden="false" customHeight="false" outlineLevel="0" collapsed="false">
      <c r="A234" s="48" t="str">
        <f aca="false">'Diagnosis &amp; Store Segmentation'!A164</f>
        <v>DS059</v>
      </c>
      <c r="B234" s="48" t="str">
        <f aca="false">'Diagnosis &amp; Store Segmentation'!BK164</f>
        <v>Scale</v>
      </c>
      <c r="C234" s="40" t="n">
        <f aca="false">'Diagnosis &amp; Store Segmentation'!O164</f>
        <v>13.3233875548413</v>
      </c>
      <c r="D234" s="40" t="n">
        <f aca="false">'Diagnosis &amp; Store Segmentation'!AH164</f>
        <v>1.04512671025733</v>
      </c>
      <c r="E234" s="40" t="n">
        <f aca="false">'Diagnosis &amp; Store Segmentation'!AI164</f>
        <v>11.6845996342612</v>
      </c>
      <c r="F234" s="40" t="n">
        <f aca="false">'Diagnosis &amp; Store Segmentation'!AK164</f>
        <v>0</v>
      </c>
      <c r="G234" s="40" t="n">
        <f aca="false">'Diagnosis &amp; Store Segmentation'!AM164</f>
        <v>0.176942558404254</v>
      </c>
      <c r="H234" s="40" t="n">
        <f aca="false">'Diagnosis &amp; Store Segmentation'!AO164</f>
        <v>0</v>
      </c>
      <c r="I234" s="40" t="n">
        <f aca="false">'Diagnosis &amp; Store Segmentation'!AV164</f>
        <v>0.275</v>
      </c>
      <c r="J234" s="40" t="n">
        <f aca="false">'Diagnosis &amp; Store Segmentation'!AL164</f>
        <v>1.09593623588398</v>
      </c>
      <c r="K234" s="39" t="n">
        <f aca="false">'Diagnosis &amp; Store Segmentation'!AR164*'Diagnosis &amp; Store Segmentation'!AU164</f>
        <v>0</v>
      </c>
      <c r="L234" s="39" t="n">
        <f aca="false">'Diagnosis &amp; Store Segmentation'!E164</f>
        <v>1510.3152173913</v>
      </c>
      <c r="M234" s="40" t="n">
        <f aca="false">'Diagnosis &amp; Store Segmentation'!F164</f>
        <v>237.2185327751</v>
      </c>
      <c r="N234" s="40" t="n">
        <f aca="false">'Diagnosis &amp; Store Segmentation'!AG164*100*'Diagnosis &amp; Store Segmentation'!F164</f>
        <v>98.35153090057</v>
      </c>
      <c r="O234" s="39" t="n">
        <f aca="false">'Diagnosis &amp; Store Segmentation'!BE164</f>
        <v>113.130434782609</v>
      </c>
      <c r="P234" s="40" t="n">
        <f aca="false">'Diagnosis &amp; Store Segmentation'!T164</f>
        <v>2.4</v>
      </c>
      <c r="Q234" s="40" t="n">
        <f aca="false">'Diagnosis &amp; Store Segmentation'!BH164</f>
        <v>12.509106</v>
      </c>
      <c r="R234" s="40" t="n">
        <f aca="false">'Diagnosis &amp; Store Segmentation'!BI164</f>
        <v>122.440476190476</v>
      </c>
      <c r="S234" s="48" t="str">
        <f aca="false">'Diagnosis &amp; Store Segmentation'!BL164</f>
        <v>Optimise</v>
      </c>
      <c r="T234" s="40" t="n">
        <f aca="false">INDEX('Diagnosis &amp; Store Segmentation'!$O$106:$O$165,MATCH('Diagnosis &amp; Store Segmentation'!BC164,'Diagnosis &amp; Store Segmentation'!$A$106:$A$165,0))</f>
        <v>12.9151004552847</v>
      </c>
      <c r="U234" s="40" t="n">
        <f aca="false">IF(P234&lt;='Assumptions &amp; Data'!$C$74,MIN($C$13*L234,O234),0)</f>
        <v>0</v>
      </c>
      <c r="V234" s="40" t="n">
        <f aca="false">-C234+U234*'Assumptions &amp; Data'!$C$63/'Assumptions &amp; Data'!$C$85*('Diagnosis &amp; Store Segmentation'!$B$12-'Assumptions &amp; Data'!$C$71)/100000</f>
        <v>-13.3233875548413</v>
      </c>
      <c r="W234" s="40" t="n">
        <f aca="false">IF(V234&gt;0,Q234/V234,99)</f>
        <v>99</v>
      </c>
      <c r="X234" s="40" t="n">
        <f aca="false">IF(AND(B234="Close",U234&gt;0,W234&lt;=$C$12,OR(S234&lt;&gt;"Close",C234&lt;T234)),1,0)</f>
        <v>0</v>
      </c>
      <c r="Y234" s="40" t="n">
        <f aca="false">(1-X234)*($C$6*(D234-$C$7*E234)+$C$8*F234+$C$9*G234+$C$10*H234+$C$11*I234)</f>
        <v>0.588205881233409</v>
      </c>
      <c r="Z234" s="40" t="n">
        <f aca="false">IF(X234=1,"closed",C234+Y234*(1-$C$14))</f>
        <v>13.8410087303267</v>
      </c>
      <c r="AA234" s="40" t="n">
        <f aca="false">IF(P234&lt;='Assumptions &amp; Data'!$C$74,MIN($D$13*L234,O234),0)</f>
        <v>0</v>
      </c>
      <c r="AB234" s="40" t="n">
        <f aca="false">-C234+AA234*'Assumptions &amp; Data'!$C$63/'Assumptions &amp; Data'!$C$85*('Diagnosis &amp; Store Segmentation'!$B$12-'Assumptions &amp; Data'!$C$71)/100000</f>
        <v>-13.3233875548413</v>
      </c>
      <c r="AC234" s="40" t="n">
        <f aca="false">IF(AB234&gt;0,Q234/AB234,99)</f>
        <v>99</v>
      </c>
      <c r="AD234" s="40" t="n">
        <f aca="false">IF(AND(B234="Close",AA234&gt;0,AC234&lt;=$D$12,OR(S234&lt;&gt;"Close",C234&lt;T234)),1,0)</f>
        <v>0</v>
      </c>
      <c r="AE234" s="40" t="n">
        <f aca="false">(1-AD234)*($D$6*(D234-$D$7*E234)+$D$8*F234+$D$9*G234+$D$10*H234+$D$11*I234)</f>
        <v>0.893462034782858</v>
      </c>
      <c r="AF234" s="40" t="n">
        <f aca="false">IF(AD234=1,"closed",C234+AE234*(1-$D$14))</f>
        <v>14.1453726268415</v>
      </c>
      <c r="AG234" s="40" t="n">
        <f aca="false">IF(P234&lt;='Assumptions &amp; Data'!$C$74,MIN($E$13*L234,O234),0)</f>
        <v>0</v>
      </c>
      <c r="AH234" s="40" t="n">
        <f aca="false">-C234+AG234*'Assumptions &amp; Data'!$C$63/'Assumptions &amp; Data'!$C$85*('Diagnosis &amp; Store Segmentation'!$B$12-'Assumptions &amp; Data'!$C$71)/100000</f>
        <v>-13.3233875548413</v>
      </c>
      <c r="AI234" s="40" t="n">
        <f aca="false">IF(AH234&gt;0,Q234/AH234,99)</f>
        <v>99</v>
      </c>
      <c r="AJ234" s="40" t="n">
        <f aca="false">IF(AND(B234="Close",AG234&gt;0,AI234&lt;=$E$12,OR(S234&lt;&gt;"Close",C234&lt;T234)),1,0)</f>
        <v>0</v>
      </c>
      <c r="AK234" s="40" t="n">
        <f aca="false">(1-AJ234)*($E$6*(D234-$E$7*E234)+$E$8*F234+$E$9*G234+$E$10*H234+$E$11*I234)</f>
        <v>1.14404125469807</v>
      </c>
      <c r="AL234" s="40" t="n">
        <f aca="false">IF(AJ234=1,"closed",C234+AK234*(1-$E$14))</f>
        <v>14.4102267468044</v>
      </c>
    </row>
    <row r="235" customFormat="false" ht="15" hidden="false" customHeight="false" outlineLevel="0" collapsed="false">
      <c r="A235" s="48" t="str">
        <f aca="false">'Diagnosis &amp; Store Segmentation'!A165</f>
        <v>DS060</v>
      </c>
      <c r="B235" s="48" t="str">
        <f aca="false">'Diagnosis &amp; Store Segmentation'!BK165</f>
        <v>Scale</v>
      </c>
      <c r="C235" s="40" t="n">
        <f aca="false">'Diagnosis &amp; Store Segmentation'!O165</f>
        <v>4.00854037512132</v>
      </c>
      <c r="D235" s="40" t="n">
        <f aca="false">'Diagnosis &amp; Store Segmentation'!AH165</f>
        <v>1.26749468551028</v>
      </c>
      <c r="E235" s="40" t="n">
        <f aca="false">'Diagnosis &amp; Store Segmentation'!AI165</f>
        <v>11.2627639625587</v>
      </c>
      <c r="F235" s="40" t="n">
        <f aca="false">'Diagnosis &amp; Store Segmentation'!AK165</f>
        <v>1.90729765638296</v>
      </c>
      <c r="G235" s="40" t="n">
        <f aca="false">'Diagnosis &amp; Store Segmentation'!AM165</f>
        <v>0</v>
      </c>
      <c r="H235" s="40" t="n">
        <f aca="false">'Diagnosis &amp; Store Segmentation'!AO165</f>
        <v>0</v>
      </c>
      <c r="I235" s="40" t="n">
        <f aca="false">'Diagnosis &amp; Store Segmentation'!AV165</f>
        <v>0.623889244575302</v>
      </c>
      <c r="J235" s="40" t="n">
        <f aca="false">'Diagnosis &amp; Store Segmentation'!AL165</f>
        <v>0</v>
      </c>
      <c r="K235" s="39" t="n">
        <f aca="false">'Diagnosis &amp; Store Segmentation'!AR165*'Diagnosis &amp; Store Segmentation'!AU165</f>
        <v>1327.4239246283</v>
      </c>
      <c r="L235" s="39" t="n">
        <f aca="false">'Diagnosis &amp; Store Segmentation'!E165</f>
        <v>695.554347826087</v>
      </c>
      <c r="M235" s="40" t="n">
        <f aca="false">'Diagnosis &amp; Store Segmentation'!F165</f>
        <v>121.297478746833</v>
      </c>
      <c r="N235" s="40" t="n">
        <f aca="false">'Diagnosis &amp; Store Segmentation'!AG165*100*'Diagnosis &amp; Store Segmentation'!F165</f>
        <v>118.564019771001</v>
      </c>
      <c r="O235" s="39" t="n">
        <f aca="false">'Diagnosis &amp; Store Segmentation'!BE165</f>
        <v>524.923913043478</v>
      </c>
      <c r="P235" s="40" t="n">
        <f aca="false">'Diagnosis &amp; Store Segmentation'!T165</f>
        <v>3.1</v>
      </c>
      <c r="Q235" s="40" t="n">
        <f aca="false">'Diagnosis &amp; Store Segmentation'!BH165</f>
        <v>7.173408</v>
      </c>
      <c r="R235" s="40" t="n">
        <f aca="false">'Diagnosis &amp; Store Segmentation'!BI165</f>
        <v>106.857142857143</v>
      </c>
      <c r="S235" s="48" t="str">
        <f aca="false">'Diagnosis &amp; Store Segmentation'!BL165</f>
        <v>Optimise</v>
      </c>
      <c r="T235" s="40" t="n">
        <f aca="false">INDEX('Diagnosis &amp; Store Segmentation'!$O$106:$O$165,MATCH('Diagnosis &amp; Store Segmentation'!BC165,'Diagnosis &amp; Store Segmentation'!$A$106:$A$165,0))</f>
        <v>8.89915440020026</v>
      </c>
      <c r="U235" s="40" t="n">
        <f aca="false">IF(P235&lt;='Assumptions &amp; Data'!$C$74,MIN($C$13*L235,O235),0)</f>
        <v>0</v>
      </c>
      <c r="V235" s="40" t="n">
        <f aca="false">-C235+U235*'Assumptions &amp; Data'!$C$63/'Assumptions &amp; Data'!$C$85*('Diagnosis &amp; Store Segmentation'!$B$12-'Assumptions &amp; Data'!$C$71)/100000</f>
        <v>-4.00854037512132</v>
      </c>
      <c r="W235" s="40" t="n">
        <f aca="false">IF(V235&gt;0,Q235/V235,99)</f>
        <v>99</v>
      </c>
      <c r="X235" s="40" t="n">
        <f aca="false">IF(AND(B235="Close",U235&gt;0,W235&lt;=$C$12,OR(S235&lt;&gt;"Close",C235&lt;T235)),1,0)</f>
        <v>0</v>
      </c>
      <c r="Y235" s="40" t="n">
        <f aca="false">(1-X235)*($C$6*(D235-$C$7*E235)+$C$8*F235+$C$9*G235+$C$10*H235+$C$11*I235)</f>
        <v>1.49936244896173</v>
      </c>
      <c r="Z235" s="40" t="n">
        <f aca="false">IF(X235=1,"closed",C235+Y235*(1-$C$14))</f>
        <v>5.32797933020764</v>
      </c>
      <c r="AA235" s="40" t="n">
        <f aca="false">IF(P235&lt;='Assumptions &amp; Data'!$C$74,MIN($D$13*L235,O235),0)</f>
        <v>0</v>
      </c>
      <c r="AB235" s="40" t="n">
        <f aca="false">-C235+AA235*'Assumptions &amp; Data'!$C$63/'Assumptions &amp; Data'!$C$85*('Diagnosis &amp; Store Segmentation'!$B$12-'Assumptions &amp; Data'!$C$71)/100000</f>
        <v>-4.00854037512132</v>
      </c>
      <c r="AC235" s="40" t="n">
        <f aca="false">IF(AB235&gt;0,Q235/AB235,99)</f>
        <v>99</v>
      </c>
      <c r="AD235" s="40" t="n">
        <f aca="false">IF(AND(B235="Close",AA235&gt;0,AC235&lt;=$D$12,OR(S235&lt;&gt;"Close",C235&lt;T235)),1,0)</f>
        <v>0</v>
      </c>
      <c r="AE235" s="40" t="n">
        <f aca="false">(1-AD235)*($D$6*(D235-$D$7*E235)+$D$8*F235+$D$9*G235+$D$10*H235+$D$11*I235)</f>
        <v>2.26473014823671</v>
      </c>
      <c r="AF235" s="40" t="n">
        <f aca="false">IF(AD235=1,"closed",C235+AE235*(1-$D$14))</f>
        <v>6.0920921114991</v>
      </c>
      <c r="AG235" s="40" t="n">
        <f aca="false">IF(P235&lt;='Assumptions &amp; Data'!$C$74,MIN($E$13*L235,O235),0)</f>
        <v>0</v>
      </c>
      <c r="AH235" s="40" t="n">
        <f aca="false">-C235+AG235*'Assumptions &amp; Data'!$C$63/'Assumptions &amp; Data'!$C$85*('Diagnosis &amp; Store Segmentation'!$B$12-'Assumptions &amp; Data'!$C$71)/100000</f>
        <v>-4.00854037512132</v>
      </c>
      <c r="AI235" s="40" t="n">
        <f aca="false">IF(AH235&gt;0,Q235/AH235,99)</f>
        <v>99</v>
      </c>
      <c r="AJ235" s="40" t="n">
        <f aca="false">IF(AND(B235="Close",AG235&gt;0,AI235&lt;=$E$12,OR(S235&lt;&gt;"Close",C235&lt;T235)),1,0)</f>
        <v>0</v>
      </c>
      <c r="AK235" s="40" t="n">
        <f aca="false">(1-AJ235)*($E$6*(D235-$E$7*E235)+$E$8*F235+$E$9*G235+$E$10*H235+$E$11*I235)</f>
        <v>2.87755275059645</v>
      </c>
      <c r="AL235" s="40" t="n">
        <f aca="false">IF(AJ235=1,"closed",C235+AK235*(1-$E$14))</f>
        <v>6.74221548818795</v>
      </c>
    </row>
  </sheetData>
  <autoFilter ref="A175:AL235"/>
  <mergeCells count="53">
    <mergeCell ref="F5:K5"/>
    <mergeCell ref="F6:K6"/>
    <mergeCell ref="F7:K7"/>
    <mergeCell ref="F8:K8"/>
    <mergeCell ref="F9:K9"/>
    <mergeCell ref="F10:K10"/>
    <mergeCell ref="F11:K11"/>
    <mergeCell ref="F12:K12"/>
    <mergeCell ref="F13:K13"/>
    <mergeCell ref="F14:K14"/>
    <mergeCell ref="F15:K15"/>
    <mergeCell ref="F16:K16"/>
    <mergeCell ref="F17:K17"/>
    <mergeCell ref="F21:K21"/>
    <mergeCell ref="F22:K22"/>
    <mergeCell ref="F23:K23"/>
    <mergeCell ref="F24:K24"/>
    <mergeCell ref="F25:K25"/>
    <mergeCell ref="F26:K26"/>
    <mergeCell ref="F27:K27"/>
    <mergeCell ref="F28:K28"/>
    <mergeCell ref="F29:K29"/>
    <mergeCell ref="F30:K30"/>
    <mergeCell ref="F31:K31"/>
    <mergeCell ref="F32:K32"/>
    <mergeCell ref="F33:K33"/>
    <mergeCell ref="F34:K34"/>
    <mergeCell ref="F35:K35"/>
    <mergeCell ref="F36:K36"/>
    <mergeCell ref="F37:K37"/>
    <mergeCell ref="F38:K38"/>
    <mergeCell ref="F39:K39"/>
    <mergeCell ref="F40:K40"/>
    <mergeCell ref="F41:K41"/>
    <mergeCell ref="F42:K42"/>
    <mergeCell ref="F43:K43"/>
    <mergeCell ref="F44:K44"/>
    <mergeCell ref="F45:K45"/>
    <mergeCell ref="F46:K46"/>
    <mergeCell ref="F47:K47"/>
    <mergeCell ref="J101:N101"/>
    <mergeCell ref="J102:N102"/>
    <mergeCell ref="J103:N103"/>
    <mergeCell ref="J104:N104"/>
    <mergeCell ref="J105:N105"/>
    <mergeCell ref="J106:N106"/>
    <mergeCell ref="B113:K113"/>
    <mergeCell ref="B114:K114"/>
    <mergeCell ref="B115:K115"/>
    <mergeCell ref="B116:K116"/>
    <mergeCell ref="B117:K117"/>
    <mergeCell ref="B118:K118"/>
    <mergeCell ref="C122:H1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9" min="2" style="0" width="15"/>
  </cols>
  <sheetData>
    <row r="1" customFormat="false" ht="17.35" hidden="false" customHeight="false" outlineLevel="0" collapsed="false">
      <c r="A1" s="1" t="s">
        <v>1629</v>
      </c>
    </row>
    <row r="2" customFormat="false" ht="15" hidden="false" customHeight="false" outlineLevel="0" collapsed="false">
      <c r="A2" s="3" t="s">
        <v>1630</v>
      </c>
    </row>
    <row r="4" customFormat="false" ht="15" hidden="false" customHeight="false" outlineLevel="0" collapsed="false">
      <c r="A4" s="4" t="s">
        <v>1631</v>
      </c>
    </row>
    <row r="5" customFormat="false" ht="25.5" hidden="false" customHeight="true" outlineLevel="0" collapsed="false">
      <c r="A5" s="5" t="s">
        <v>1632</v>
      </c>
      <c r="B5" s="5" t="s">
        <v>1633</v>
      </c>
      <c r="C5" s="5" t="s">
        <v>1634</v>
      </c>
      <c r="D5" s="5"/>
      <c r="E5" s="5"/>
      <c r="F5" s="5" t="s">
        <v>1538</v>
      </c>
      <c r="G5" s="5" t="s">
        <v>1635</v>
      </c>
      <c r="H5" s="5" t="s">
        <v>1636</v>
      </c>
    </row>
    <row r="6" customFormat="false" ht="39.75" hidden="false" customHeight="true" outlineLevel="0" collapsed="false">
      <c r="A6" s="47" t="s">
        <v>1637</v>
      </c>
      <c r="B6" s="8" t="s">
        <v>1638</v>
      </c>
      <c r="C6" s="8" t="s">
        <v>1639</v>
      </c>
      <c r="D6" s="8"/>
      <c r="E6" s="8"/>
      <c r="F6" s="8" t="s">
        <v>1640</v>
      </c>
      <c r="G6" s="8" t="s">
        <v>1641</v>
      </c>
      <c r="H6" s="8" t="s">
        <v>1642</v>
      </c>
    </row>
    <row r="7" customFormat="false" ht="39.75" hidden="false" customHeight="true" outlineLevel="0" collapsed="false">
      <c r="A7" s="47" t="s">
        <v>1637</v>
      </c>
      <c r="B7" s="8" t="s">
        <v>1524</v>
      </c>
      <c r="C7" s="8" t="s">
        <v>1643</v>
      </c>
      <c r="D7" s="8"/>
      <c r="E7" s="8"/>
      <c r="F7" s="8" t="s">
        <v>1544</v>
      </c>
      <c r="G7" s="8" t="s">
        <v>1644</v>
      </c>
      <c r="H7" s="8" t="s">
        <v>1645</v>
      </c>
    </row>
    <row r="8" customFormat="false" ht="39.75" hidden="false" customHeight="true" outlineLevel="0" collapsed="false">
      <c r="A8" s="47" t="s">
        <v>1637</v>
      </c>
      <c r="B8" s="8" t="s">
        <v>1437</v>
      </c>
      <c r="C8" s="8" t="s">
        <v>1646</v>
      </c>
      <c r="D8" s="8"/>
      <c r="E8" s="8"/>
      <c r="F8" s="8" t="s">
        <v>1647</v>
      </c>
      <c r="G8" s="8" t="s">
        <v>1648</v>
      </c>
      <c r="H8" s="8" t="s">
        <v>1649</v>
      </c>
    </row>
    <row r="9" customFormat="false" ht="39.75" hidden="false" customHeight="true" outlineLevel="0" collapsed="false">
      <c r="A9" s="47" t="s">
        <v>1637</v>
      </c>
      <c r="B9" s="8" t="s">
        <v>1650</v>
      </c>
      <c r="C9" s="8" t="s">
        <v>1651</v>
      </c>
      <c r="D9" s="8"/>
      <c r="E9" s="8"/>
      <c r="F9" s="8" t="s">
        <v>1652</v>
      </c>
      <c r="G9" s="8" t="s">
        <v>1653</v>
      </c>
      <c r="H9" s="8" t="s">
        <v>1654</v>
      </c>
    </row>
    <row r="10" customFormat="false" ht="39.75" hidden="false" customHeight="true" outlineLevel="0" collapsed="false">
      <c r="A10" s="47" t="s">
        <v>1637</v>
      </c>
      <c r="B10" s="8" t="s">
        <v>1655</v>
      </c>
      <c r="C10" s="8" t="s">
        <v>1656</v>
      </c>
      <c r="D10" s="8"/>
      <c r="E10" s="8"/>
      <c r="F10" s="8" t="s">
        <v>1657</v>
      </c>
      <c r="G10" s="8" t="s">
        <v>1658</v>
      </c>
      <c r="H10" s="8" t="s">
        <v>1659</v>
      </c>
    </row>
    <row r="11" customFormat="false" ht="39.75" hidden="false" customHeight="true" outlineLevel="0" collapsed="false">
      <c r="A11" s="47" t="s">
        <v>1660</v>
      </c>
      <c r="B11" s="8" t="s">
        <v>1661</v>
      </c>
      <c r="C11" s="8" t="s">
        <v>1662</v>
      </c>
      <c r="D11" s="8"/>
      <c r="E11" s="8"/>
      <c r="F11" s="8" t="s">
        <v>1663</v>
      </c>
      <c r="G11" s="8" t="s">
        <v>1664</v>
      </c>
      <c r="H11" s="8" t="s">
        <v>1665</v>
      </c>
    </row>
    <row r="12" customFormat="false" ht="39.75" hidden="false" customHeight="true" outlineLevel="0" collapsed="false">
      <c r="A12" s="47" t="s">
        <v>1660</v>
      </c>
      <c r="B12" s="8" t="s">
        <v>192</v>
      </c>
      <c r="C12" s="8" t="s">
        <v>1666</v>
      </c>
      <c r="D12" s="8"/>
      <c r="E12" s="8"/>
      <c r="F12" s="8" t="s">
        <v>1667</v>
      </c>
      <c r="G12" s="8" t="s">
        <v>1668</v>
      </c>
      <c r="H12" s="8" t="s">
        <v>1669</v>
      </c>
    </row>
    <row r="13" customFormat="false" ht="39.75" hidden="false" customHeight="true" outlineLevel="0" collapsed="false">
      <c r="A13" s="47" t="s">
        <v>1670</v>
      </c>
      <c r="B13" s="8" t="s">
        <v>1671</v>
      </c>
      <c r="C13" s="8" t="s">
        <v>1672</v>
      </c>
      <c r="D13" s="8"/>
      <c r="E13" s="8"/>
      <c r="F13" s="8" t="s">
        <v>1673</v>
      </c>
      <c r="G13" s="8" t="s">
        <v>1674</v>
      </c>
      <c r="H13" s="8" t="s">
        <v>1675</v>
      </c>
    </row>
    <row r="14" customFormat="false" ht="39.75" hidden="false" customHeight="true" outlineLevel="0" collapsed="false">
      <c r="A14" s="47" t="s">
        <v>1670</v>
      </c>
      <c r="B14" s="8" t="s">
        <v>1676</v>
      </c>
      <c r="C14" s="8" t="s">
        <v>1677</v>
      </c>
      <c r="D14" s="8"/>
      <c r="E14" s="8"/>
      <c r="F14" s="8" t="s">
        <v>1678</v>
      </c>
      <c r="G14" s="8" t="s">
        <v>1679</v>
      </c>
      <c r="H14" s="8" t="s">
        <v>1680</v>
      </c>
    </row>
    <row r="17" customFormat="false" ht="15" hidden="false" customHeight="false" outlineLevel="0" collapsed="false">
      <c r="A17" s="4" t="s">
        <v>1681</v>
      </c>
    </row>
    <row r="18" customFormat="false" ht="36" hidden="false" customHeight="true" outlineLevel="0" collapsed="false">
      <c r="A18" s="5" t="s">
        <v>1682</v>
      </c>
      <c r="B18" s="5" t="s">
        <v>1683</v>
      </c>
      <c r="C18" s="5" t="s">
        <v>1684</v>
      </c>
      <c r="D18" s="5" t="s">
        <v>1685</v>
      </c>
      <c r="E18" s="5" t="s">
        <v>1686</v>
      </c>
      <c r="F18" s="5" t="s">
        <v>1687</v>
      </c>
      <c r="G18" s="5" t="s">
        <v>1688</v>
      </c>
      <c r="H18" s="5" t="s">
        <v>1689</v>
      </c>
      <c r="I18" s="5" t="s">
        <v>1690</v>
      </c>
      <c r="J18" s="5"/>
      <c r="K18" s="53" t="s">
        <v>1691</v>
      </c>
    </row>
    <row r="19" customFormat="false" ht="39.75" hidden="false" customHeight="true" outlineLevel="0" collapsed="false">
      <c r="A19" s="6" t="s">
        <v>1524</v>
      </c>
      <c r="B19" s="12" t="str">
        <f aca="false">INDEX('Diagnosis &amp; Store Segmentation'!$A$106:$A$165,MATCH(LARGE('Diagnosis &amp; Store Segmentation'!$AH$106:$AH$165,1),'Diagnosis &amp; Store Segmentation'!$AH$106:$AH$165,0))</f>
        <v>DS020</v>
      </c>
      <c r="C19" s="12" t="str">
        <f aca="false">INDEX('Diagnosis &amp; Store Segmentation'!$A$106:$A$165,MATCH(LARGE('Diagnosis &amp; Store Segmentation'!$AH$106:$AH$165,2),'Diagnosis &amp; Store Segmentation'!$AH$106:$AH$165,0))</f>
        <v>DS032</v>
      </c>
      <c r="D19" s="12" t="str">
        <f aca="false">INDEX('Diagnosis &amp; Store Segmentation'!$A$106:$A$165,MATCH(LARGE('Diagnosis &amp; Store Segmentation'!$AH$106:$AH$165,3),'Diagnosis &amp; Store Segmentation'!$AH$106:$AH$165,0))</f>
        <v>DS037</v>
      </c>
      <c r="E19" s="12" t="str">
        <f aca="false">INDEX('Diagnosis &amp; Store Segmentation'!$A$106:$A$165,MATCH(LARGE('Diagnosis &amp; Store Segmentation'!$AH$106:$AH$165,4),'Diagnosis &amp; Store Segmentation'!$AH$106:$AH$165,0))</f>
        <v>DS040</v>
      </c>
      <c r="F19" s="12" t="str">
        <f aca="false">INDEX('Diagnosis &amp; Store Segmentation'!$A$106:$A$165,MATCH(LARGE('Diagnosis &amp; Store Segmentation'!$AH$106:$AH$165,5),'Diagnosis &amp; Store Segmentation'!$AH$106:$AH$165,0))</f>
        <v>DS017</v>
      </c>
      <c r="G19" s="12" t="str">
        <f aca="false">INDEX('Diagnosis &amp; Store Segmentation'!$A$106:$A$165,MATCH(LARGE('Diagnosis &amp; Store Segmentation'!$AH$106:$AH$165,6),'Diagnosis &amp; Store Segmentation'!$AH$106:$AH$165,0))</f>
        <v>DS005</v>
      </c>
      <c r="H19" s="19" t="n">
        <f aca="false">LARGE('Diagnosis &amp; Store Segmentation'!$AH$106:$AH$165,1)+LARGE('Diagnosis &amp; Store Segmentation'!$AH$106:$AH$165,2)+LARGE('Diagnosis &amp; Store Segmentation'!$AH$106:$AH$165,3)</f>
        <v>11.6763154586536</v>
      </c>
      <c r="I19" s="8" t="s">
        <v>1692</v>
      </c>
      <c r="J19" s="8"/>
      <c r="K19" s="8" t="s">
        <v>1693</v>
      </c>
    </row>
    <row r="20" customFormat="false" ht="39.75" hidden="false" customHeight="true" outlineLevel="0" collapsed="false">
      <c r="A20" s="6" t="s">
        <v>306</v>
      </c>
      <c r="B20" s="12" t="str">
        <f aca="false">INDEX('Diagnosis &amp; Store Segmentation'!$A$106:$A$165,MATCH(LARGE('Diagnosis &amp; Store Segmentation'!$AK$106:$AK$165,1),'Diagnosis &amp; Store Segmentation'!$AK$106:$AK$165,0))</f>
        <v>DS039</v>
      </c>
      <c r="C20" s="12" t="str">
        <f aca="false">INDEX('Diagnosis &amp; Store Segmentation'!$A$106:$A$165,MATCH(LARGE('Diagnosis &amp; Store Segmentation'!$AK$106:$AK$165,2),'Diagnosis &amp; Store Segmentation'!$AK$106:$AK$165,0))</f>
        <v>DS032</v>
      </c>
      <c r="D20" s="12" t="str">
        <f aca="false">INDEX('Diagnosis &amp; Store Segmentation'!$A$106:$A$165,MATCH(LARGE('Diagnosis &amp; Store Segmentation'!$AK$106:$AK$165,3),'Diagnosis &amp; Store Segmentation'!$AK$106:$AK$165,0))</f>
        <v>DS010</v>
      </c>
      <c r="E20" s="12" t="str">
        <f aca="false">INDEX('Diagnosis &amp; Store Segmentation'!$A$106:$A$165,MATCH(LARGE('Diagnosis &amp; Store Segmentation'!$AK$106:$AK$165,4),'Diagnosis &amp; Store Segmentation'!$AK$106:$AK$165,0))</f>
        <v>DS056</v>
      </c>
      <c r="F20" s="12" t="str">
        <f aca="false">INDEX('Diagnosis &amp; Store Segmentation'!$A$106:$A$165,MATCH(LARGE('Diagnosis &amp; Store Segmentation'!$AK$106:$AK$165,5),'Diagnosis &amp; Store Segmentation'!$AK$106:$AK$165,0))</f>
        <v>DS036</v>
      </c>
      <c r="G20" s="12" t="str">
        <f aca="false">INDEX('Diagnosis &amp; Store Segmentation'!$A$106:$A$165,MATCH(LARGE('Diagnosis &amp; Store Segmentation'!$AK$106:$AK$165,6),'Diagnosis &amp; Store Segmentation'!$AK$106:$AK$165,0))</f>
        <v>DS014</v>
      </c>
      <c r="H20" s="19" t="n">
        <f aca="false">LARGE('Diagnosis &amp; Store Segmentation'!$AK$106:$AK$165,1)+LARGE('Diagnosis &amp; Store Segmentation'!$AK$106:$AK$165,2)+LARGE('Diagnosis &amp; Store Segmentation'!$AK$106:$AK$165,3)</f>
        <v>10.8461406612364</v>
      </c>
      <c r="I20" s="8" t="s">
        <v>1694</v>
      </c>
      <c r="J20" s="8"/>
      <c r="K20" s="8" t="s">
        <v>1695</v>
      </c>
    </row>
    <row r="21" customFormat="false" ht="39.75" hidden="false" customHeight="true" outlineLevel="0" collapsed="false">
      <c r="A21" s="6" t="s">
        <v>1696</v>
      </c>
      <c r="B21" s="12" t="str">
        <f aca="false">INDEX('Diagnosis &amp; Store Segmentation'!$A$106:$A$165,MATCH(LARGE('Diagnosis &amp; Store Segmentation'!$AM$106:$AM$165,1),'Diagnosis &amp; Store Segmentation'!$AM$106:$AM$165,0))</f>
        <v>DS041</v>
      </c>
      <c r="C21" s="12" t="str">
        <f aca="false">INDEX('Diagnosis &amp; Store Segmentation'!$A$106:$A$165,MATCH(LARGE('Diagnosis &amp; Store Segmentation'!$AM$106:$AM$165,2),'Diagnosis &amp; Store Segmentation'!$AM$106:$AM$165,0))</f>
        <v>DS030</v>
      </c>
      <c r="D21" s="12" t="str">
        <f aca="false">INDEX('Diagnosis &amp; Store Segmentation'!$A$106:$A$165,MATCH(LARGE('Diagnosis &amp; Store Segmentation'!$AM$106:$AM$165,3),'Diagnosis &amp; Store Segmentation'!$AM$106:$AM$165,0))</f>
        <v>DS007</v>
      </c>
      <c r="E21" s="12" t="str">
        <f aca="false">INDEX('Diagnosis &amp; Store Segmentation'!$A$106:$A$165,MATCH(LARGE('Diagnosis &amp; Store Segmentation'!$AM$106:$AM$165,4),'Diagnosis &amp; Store Segmentation'!$AM$106:$AM$165,0))</f>
        <v>DS006</v>
      </c>
      <c r="F21" s="12" t="str">
        <f aca="false">INDEX('Diagnosis &amp; Store Segmentation'!$A$106:$A$165,MATCH(LARGE('Diagnosis &amp; Store Segmentation'!$AM$106:$AM$165,5),'Diagnosis &amp; Store Segmentation'!$AM$106:$AM$165,0))</f>
        <v>DS015</v>
      </c>
      <c r="G21" s="12" t="str">
        <f aca="false">INDEX('Diagnosis &amp; Store Segmentation'!$A$106:$A$165,MATCH(LARGE('Diagnosis &amp; Store Segmentation'!$AM$106:$AM$165,6),'Diagnosis &amp; Store Segmentation'!$AM$106:$AM$165,0))</f>
        <v>DS054</v>
      </c>
      <c r="H21" s="19" t="n">
        <f aca="false">LARGE('Diagnosis &amp; Store Segmentation'!$AM$106:$AM$165,1)+LARGE('Diagnosis &amp; Store Segmentation'!$AM$106:$AM$165,2)+LARGE('Diagnosis &amp; Store Segmentation'!$AM$106:$AM$165,3)</f>
        <v>6.76476902664848</v>
      </c>
      <c r="I21" s="8" t="s">
        <v>1697</v>
      </c>
      <c r="J21" s="8"/>
      <c r="K21" s="8" t="s">
        <v>1698</v>
      </c>
    </row>
    <row r="22" customFormat="false" ht="39.75" hidden="false" customHeight="true" outlineLevel="0" collapsed="false">
      <c r="A22" s="6" t="s">
        <v>1699</v>
      </c>
      <c r="B22" s="12" t="str">
        <f aca="false">INDEX('Diagnosis &amp; Store Segmentation'!$A$106:$A$165,MATCH(LARGE('Diagnosis &amp; Store Segmentation'!$AO$106:$AO$165,1),'Diagnosis &amp; Store Segmentation'!$AO$106:$AO$165,0))</f>
        <v>DS021</v>
      </c>
      <c r="C22" s="12" t="str">
        <f aca="false">INDEX('Diagnosis &amp; Store Segmentation'!$A$106:$A$165,MATCH(LARGE('Diagnosis &amp; Store Segmentation'!$AO$106:$AO$165,2),'Diagnosis &amp; Store Segmentation'!$AO$106:$AO$165,0))</f>
        <v>DS025</v>
      </c>
      <c r="D22" s="12" t="str">
        <f aca="false">INDEX('Diagnosis &amp; Store Segmentation'!$A$106:$A$165,MATCH(LARGE('Diagnosis &amp; Store Segmentation'!$AO$106:$AO$165,3),'Diagnosis &amp; Store Segmentation'!$AO$106:$AO$165,0))</f>
        <v>DS017</v>
      </c>
      <c r="E22" s="12" t="str">
        <f aca="false">INDEX('Diagnosis &amp; Store Segmentation'!$A$106:$A$165,MATCH(LARGE('Diagnosis &amp; Store Segmentation'!$AO$106:$AO$165,4),'Diagnosis &amp; Store Segmentation'!$AO$106:$AO$165,0))</f>
        <v>DS026</v>
      </c>
      <c r="F22" s="12" t="str">
        <f aca="false">INDEX('Diagnosis &amp; Store Segmentation'!$A$106:$A$165,MATCH(LARGE('Diagnosis &amp; Store Segmentation'!$AO$106:$AO$165,5),'Diagnosis &amp; Store Segmentation'!$AO$106:$AO$165,0))</f>
        <v>DS033</v>
      </c>
      <c r="G22" s="12" t="str">
        <f aca="false">INDEX('Diagnosis &amp; Store Segmentation'!$A$106:$A$165,MATCH(LARGE('Diagnosis &amp; Store Segmentation'!$AO$106:$AO$165,6),'Diagnosis &amp; Store Segmentation'!$AO$106:$AO$165,0))</f>
        <v>DS019</v>
      </c>
      <c r="H22" s="19" t="n">
        <f aca="false">LARGE('Diagnosis &amp; Store Segmentation'!$AO$106:$AO$165,1)+LARGE('Diagnosis &amp; Store Segmentation'!$AO$106:$AO$165,2)+LARGE('Diagnosis &amp; Store Segmentation'!$AO$106:$AO$165,3)</f>
        <v>7.15712242617139</v>
      </c>
      <c r="I22" s="8" t="s">
        <v>1700</v>
      </c>
      <c r="J22" s="8"/>
      <c r="K22" s="8" t="s">
        <v>1701</v>
      </c>
    </row>
    <row r="23" customFormat="false" ht="39.75" hidden="false" customHeight="true" outlineLevel="0" collapsed="false">
      <c r="A23" s="6" t="s">
        <v>1443</v>
      </c>
      <c r="B23" s="12" t="str">
        <f aca="false">INDEX('Diagnosis &amp; Store Segmentation'!$A$106:$A$165,MATCH(LARGE('Diagnosis &amp; Store Segmentation'!$AV$106:$AV$165,1),'Diagnosis &amp; Store Segmentation'!$AV$106:$AV$165,0))</f>
        <v>DS019</v>
      </c>
      <c r="C23" s="12" t="str">
        <f aca="false">INDEX('Diagnosis &amp; Store Segmentation'!$A$106:$A$165,MATCH(LARGE('Diagnosis &amp; Store Segmentation'!$AV$106:$AV$165,2),'Diagnosis &amp; Store Segmentation'!$AV$106:$AV$165,0))</f>
        <v>DS020</v>
      </c>
      <c r="D23" s="12" t="str">
        <f aca="false">INDEX('Diagnosis &amp; Store Segmentation'!$A$106:$A$165,MATCH(LARGE('Diagnosis &amp; Store Segmentation'!$AV$106:$AV$165,3),'Diagnosis &amp; Store Segmentation'!$AV$106:$AV$165,0))</f>
        <v>DS025</v>
      </c>
      <c r="E23" s="12" t="str">
        <f aca="false">INDEX('Diagnosis &amp; Store Segmentation'!$A$106:$A$165,MATCH(LARGE('Diagnosis &amp; Store Segmentation'!$AV$106:$AV$165,4),'Diagnosis &amp; Store Segmentation'!$AV$106:$AV$165,0))</f>
        <v>DS044</v>
      </c>
      <c r="F23" s="12" t="str">
        <f aca="false">INDEX('Diagnosis &amp; Store Segmentation'!$A$106:$A$165,MATCH(LARGE('Diagnosis &amp; Store Segmentation'!$AV$106:$AV$165,5),'Diagnosis &amp; Store Segmentation'!$AV$106:$AV$165,0))</f>
        <v>DS058</v>
      </c>
      <c r="G23" s="12" t="str">
        <f aca="false">INDEX('Diagnosis &amp; Store Segmentation'!$A$106:$A$165,MATCH(LARGE('Diagnosis &amp; Store Segmentation'!$AV$106:$AV$165,6),'Diagnosis &amp; Store Segmentation'!$AV$106:$AV$165,0))</f>
        <v>DS005</v>
      </c>
      <c r="H23" s="19" t="n">
        <f aca="false">LARGE('Diagnosis &amp; Store Segmentation'!$AV$106:$AV$165,1)+LARGE('Diagnosis &amp; Store Segmentation'!$AV$106:$AV$165,2)+LARGE('Diagnosis &amp; Store Segmentation'!$AV$106:$AV$165,3)</f>
        <v>14.8788404654907</v>
      </c>
      <c r="I23" s="8" t="s">
        <v>1702</v>
      </c>
      <c r="J23" s="8"/>
      <c r="K23" s="8" t="s">
        <v>1703</v>
      </c>
    </row>
    <row r="24" customFormat="false" ht="39.75" hidden="false" customHeight="true" outlineLevel="0" collapsed="false">
      <c r="A24" s="6" t="s">
        <v>1704</v>
      </c>
      <c r="B24" s="12" t="str">
        <f aca="false">IFERROR(INDEX('Diagnosis &amp; Store Segmentation'!$A$106:$A$165,MATCH(1,'Diagnosis &amp; Store Segmentation'!$BZ$106:$BZ$165,0)),"-")</f>
        <v>DS001</v>
      </c>
      <c r="C24" s="12" t="str">
        <f aca="false">IFERROR(INDEX('Diagnosis &amp; Store Segmentation'!$A$106:$A$165,MATCH(2,'Diagnosis &amp; Store Segmentation'!$BZ$106:$BZ$165,0)),"-")</f>
        <v>DS016</v>
      </c>
      <c r="D24" s="12" t="str">
        <f aca="false">IFERROR(INDEX('Diagnosis &amp; Store Segmentation'!$A$106:$A$165,MATCH(3,'Diagnosis &amp; Store Segmentation'!$BZ$106:$BZ$165,0)),"-")</f>
        <v>DS022</v>
      </c>
      <c r="E24" s="3" t="s">
        <v>1705</v>
      </c>
      <c r="H24" s="19" t="n">
        <f aca="false">-SUMIF('Diagnosis &amp; Store Segmentation'!$BK$106:$BK$165,"Close",'Diagnosis &amp; Store Segmentation'!$O$106:$O$165)</f>
        <v>15.4801156981229</v>
      </c>
      <c r="I24" s="8" t="s">
        <v>1706</v>
      </c>
      <c r="J24" s="8"/>
      <c r="K24" s="8" t="s">
        <v>1707</v>
      </c>
    </row>
    <row r="27" customFormat="false" ht="15" hidden="false" customHeight="false" outlineLevel="0" collapsed="false">
      <c r="A27" s="4" t="s">
        <v>1708</v>
      </c>
    </row>
    <row r="28" customFormat="false" ht="21.75" hidden="false" customHeight="true" outlineLevel="0" collapsed="false">
      <c r="A28" s="5" t="s">
        <v>1633</v>
      </c>
      <c r="B28" s="5" t="s">
        <v>1709</v>
      </c>
      <c r="C28" s="5" t="s">
        <v>1710</v>
      </c>
      <c r="D28" s="5" t="s">
        <v>1711</v>
      </c>
      <c r="E28" s="5" t="s">
        <v>1512</v>
      </c>
      <c r="F28" s="5" t="s">
        <v>1513</v>
      </c>
      <c r="G28" s="5" t="s">
        <v>1514</v>
      </c>
      <c r="H28" s="5" t="s">
        <v>1515</v>
      </c>
      <c r="I28" s="5" t="s">
        <v>1516</v>
      </c>
      <c r="J28" s="5" t="s">
        <v>1517</v>
      </c>
      <c r="K28" s="5" t="s">
        <v>1518</v>
      </c>
      <c r="L28" s="5" t="s">
        <v>1519</v>
      </c>
      <c r="M28" s="5" t="s">
        <v>1520</v>
      </c>
      <c r="N28" s="5" t="s">
        <v>1521</v>
      </c>
      <c r="O28" s="5" t="s">
        <v>1522</v>
      </c>
      <c r="P28" s="5" t="s">
        <v>1523</v>
      </c>
    </row>
    <row r="29" customFormat="false" ht="15" hidden="false" customHeight="false" outlineLevel="0" collapsed="false">
      <c r="A29" s="12" t="s">
        <v>1712</v>
      </c>
      <c r="B29" s="14" t="n">
        <v>1</v>
      </c>
      <c r="C29" s="14" t="n">
        <v>12</v>
      </c>
      <c r="D29" s="12" t="s">
        <v>1667</v>
      </c>
      <c r="E29" s="56" t="str">
        <f aca="false">IF(AND(1&gt;=$B29,1&lt;=$C29),"■","")</f>
        <v>■</v>
      </c>
      <c r="F29" s="56" t="str">
        <f aca="false">IF(AND(2&gt;=$B29,2&lt;=$C29),"■","")</f>
        <v>■</v>
      </c>
      <c r="G29" s="56" t="str">
        <f aca="false">IF(AND(3&gt;=$B29,3&lt;=$C29),"■","")</f>
        <v>■</v>
      </c>
      <c r="H29" s="56" t="str">
        <f aca="false">IF(AND(4&gt;=$B29,4&lt;=$C29),"■","")</f>
        <v>■</v>
      </c>
      <c r="I29" s="56" t="str">
        <f aca="false">IF(AND(5&gt;=$B29,5&lt;=$C29),"■","")</f>
        <v>■</v>
      </c>
      <c r="J29" s="56" t="str">
        <f aca="false">IF(AND(6&gt;=$B29,6&lt;=$C29),"■","")</f>
        <v>■</v>
      </c>
      <c r="K29" s="56" t="str">
        <f aca="false">IF(AND(7&gt;=$B29,7&lt;=$C29),"■","")</f>
        <v>■</v>
      </c>
      <c r="L29" s="56" t="str">
        <f aca="false">IF(AND(8&gt;=$B29,8&lt;=$C29),"■","")</f>
        <v>■</v>
      </c>
      <c r="M29" s="56" t="str">
        <f aca="false">IF(AND(9&gt;=$B29,9&lt;=$C29),"■","")</f>
        <v>■</v>
      </c>
      <c r="N29" s="56" t="str">
        <f aca="false">IF(AND(10&gt;=$B29,10&lt;=$C29),"■","")</f>
        <v>■</v>
      </c>
      <c r="O29" s="56" t="str">
        <f aca="false">IF(AND(11&gt;=$B29,11&lt;=$C29),"■","")</f>
        <v>■</v>
      </c>
      <c r="P29" s="56" t="str">
        <f aca="false">IF(AND(12&gt;=$B29,12&lt;=$C29),"■","")</f>
        <v>■</v>
      </c>
    </row>
    <row r="30" customFormat="false" ht="15" hidden="false" customHeight="false" outlineLevel="0" collapsed="false">
      <c r="A30" s="12" t="s">
        <v>1713</v>
      </c>
      <c r="B30" s="14" t="n">
        <v>2</v>
      </c>
      <c r="C30" s="14" t="n">
        <v>3</v>
      </c>
      <c r="D30" s="12" t="s">
        <v>1544</v>
      </c>
      <c r="E30" s="56" t="str">
        <f aca="false">IF(AND(1&gt;=$B30,1&lt;=$C30),"■","")</f>
        <v/>
      </c>
      <c r="F30" s="56" t="str">
        <f aca="false">IF(AND(2&gt;=$B30,2&lt;=$C30),"■","")</f>
        <v>■</v>
      </c>
      <c r="G30" s="56" t="str">
        <f aca="false">IF(AND(3&gt;=$B30,3&lt;=$C30),"■","")</f>
        <v>■</v>
      </c>
      <c r="H30" s="56" t="str">
        <f aca="false">IF(AND(4&gt;=$B30,4&lt;=$C30),"■","")</f>
        <v/>
      </c>
      <c r="I30" s="56" t="str">
        <f aca="false">IF(AND(5&gt;=$B30,5&lt;=$C30),"■","")</f>
        <v/>
      </c>
      <c r="J30" s="56" t="str">
        <f aca="false">IF(AND(6&gt;=$B30,6&lt;=$C30),"■","")</f>
        <v/>
      </c>
      <c r="K30" s="56" t="str">
        <f aca="false">IF(AND(7&gt;=$B30,7&lt;=$C30),"■","")</f>
        <v/>
      </c>
      <c r="L30" s="56" t="str">
        <f aca="false">IF(AND(8&gt;=$B30,8&lt;=$C30),"■","")</f>
        <v/>
      </c>
      <c r="M30" s="56" t="str">
        <f aca="false">IF(AND(9&gt;=$B30,9&lt;=$C30),"■","")</f>
        <v/>
      </c>
      <c r="N30" s="56" t="str">
        <f aca="false">IF(AND(10&gt;=$B30,10&lt;=$C30),"■","")</f>
        <v/>
      </c>
      <c r="O30" s="56" t="str">
        <f aca="false">IF(AND(11&gt;=$B30,11&lt;=$C30),"■","")</f>
        <v/>
      </c>
      <c r="P30" s="56" t="str">
        <f aca="false">IF(AND(12&gt;=$B30,12&lt;=$C30),"■","")</f>
        <v/>
      </c>
    </row>
    <row r="31" customFormat="false" ht="15" hidden="false" customHeight="false" outlineLevel="0" collapsed="false">
      <c r="A31" s="12" t="s">
        <v>1714</v>
      </c>
      <c r="B31" s="14" t="n">
        <v>4</v>
      </c>
      <c r="C31" s="14" t="n">
        <v>8</v>
      </c>
      <c r="D31" s="12" t="s">
        <v>1544</v>
      </c>
      <c r="E31" s="56" t="str">
        <f aca="false">IF(AND(1&gt;=$B31,1&lt;=$C31),"■","")</f>
        <v/>
      </c>
      <c r="F31" s="56" t="str">
        <f aca="false">IF(AND(2&gt;=$B31,2&lt;=$C31),"■","")</f>
        <v/>
      </c>
      <c r="G31" s="56" t="str">
        <f aca="false">IF(AND(3&gt;=$B31,3&lt;=$C31),"■","")</f>
        <v/>
      </c>
      <c r="H31" s="56" t="str">
        <f aca="false">IF(AND(4&gt;=$B31,4&lt;=$C31),"■","")</f>
        <v>■</v>
      </c>
      <c r="I31" s="56" t="str">
        <f aca="false">IF(AND(5&gt;=$B31,5&lt;=$C31),"■","")</f>
        <v>■</v>
      </c>
      <c r="J31" s="56" t="str">
        <f aca="false">IF(AND(6&gt;=$B31,6&lt;=$C31),"■","")</f>
        <v>■</v>
      </c>
      <c r="K31" s="56" t="str">
        <f aca="false">IF(AND(7&gt;=$B31,7&lt;=$C31),"■","")</f>
        <v>■</v>
      </c>
      <c r="L31" s="56" t="str">
        <f aca="false">IF(AND(8&gt;=$B31,8&lt;=$C31),"■","")</f>
        <v>■</v>
      </c>
      <c r="M31" s="56" t="str">
        <f aca="false">IF(AND(9&gt;=$B31,9&lt;=$C31),"■","")</f>
        <v/>
      </c>
      <c r="N31" s="56" t="str">
        <f aca="false">IF(AND(10&gt;=$B31,10&lt;=$C31),"■","")</f>
        <v/>
      </c>
      <c r="O31" s="56" t="str">
        <f aca="false">IF(AND(11&gt;=$B31,11&lt;=$C31),"■","")</f>
        <v/>
      </c>
      <c r="P31" s="56" t="str">
        <f aca="false">IF(AND(12&gt;=$B31,12&lt;=$C31),"■","")</f>
        <v/>
      </c>
    </row>
    <row r="32" customFormat="false" ht="15" hidden="false" customHeight="false" outlineLevel="0" collapsed="false">
      <c r="A32" s="12" t="s">
        <v>1715</v>
      </c>
      <c r="B32" s="14" t="n">
        <v>3</v>
      </c>
      <c r="C32" s="14" t="n">
        <v>4</v>
      </c>
      <c r="D32" s="12" t="s">
        <v>1647</v>
      </c>
      <c r="E32" s="56" t="str">
        <f aca="false">IF(AND(1&gt;=$B32,1&lt;=$C32),"■","")</f>
        <v/>
      </c>
      <c r="F32" s="56" t="str">
        <f aca="false">IF(AND(2&gt;=$B32,2&lt;=$C32),"■","")</f>
        <v/>
      </c>
      <c r="G32" s="56" t="str">
        <f aca="false">IF(AND(3&gt;=$B32,3&lt;=$C32),"■","")</f>
        <v>■</v>
      </c>
      <c r="H32" s="56" t="str">
        <f aca="false">IF(AND(4&gt;=$B32,4&lt;=$C32),"■","")</f>
        <v>■</v>
      </c>
      <c r="I32" s="56" t="str">
        <f aca="false">IF(AND(5&gt;=$B32,5&lt;=$C32),"■","")</f>
        <v/>
      </c>
      <c r="J32" s="56" t="str">
        <f aca="false">IF(AND(6&gt;=$B32,6&lt;=$C32),"■","")</f>
        <v/>
      </c>
      <c r="K32" s="56" t="str">
        <f aca="false">IF(AND(7&gt;=$B32,7&lt;=$C32),"■","")</f>
        <v/>
      </c>
      <c r="L32" s="56" t="str">
        <f aca="false">IF(AND(8&gt;=$B32,8&lt;=$C32),"■","")</f>
        <v/>
      </c>
      <c r="M32" s="56" t="str">
        <f aca="false">IF(AND(9&gt;=$B32,9&lt;=$C32),"■","")</f>
        <v/>
      </c>
      <c r="N32" s="56" t="str">
        <f aca="false">IF(AND(10&gt;=$B32,10&lt;=$C32),"■","")</f>
        <v/>
      </c>
      <c r="O32" s="56" t="str">
        <f aca="false">IF(AND(11&gt;=$B32,11&lt;=$C32),"■","")</f>
        <v/>
      </c>
      <c r="P32" s="56" t="str">
        <f aca="false">IF(AND(12&gt;=$B32,12&lt;=$C32),"■","")</f>
        <v/>
      </c>
    </row>
    <row r="33" customFormat="false" ht="15" hidden="false" customHeight="false" outlineLevel="0" collapsed="false">
      <c r="A33" s="12" t="s">
        <v>1716</v>
      </c>
      <c r="B33" s="14" t="n">
        <v>5</v>
      </c>
      <c r="C33" s="14" t="n">
        <v>9</v>
      </c>
      <c r="D33" s="12" t="s">
        <v>1647</v>
      </c>
      <c r="E33" s="56" t="str">
        <f aca="false">IF(AND(1&gt;=$B33,1&lt;=$C33),"■","")</f>
        <v/>
      </c>
      <c r="F33" s="56" t="str">
        <f aca="false">IF(AND(2&gt;=$B33,2&lt;=$C33),"■","")</f>
        <v/>
      </c>
      <c r="G33" s="56" t="str">
        <f aca="false">IF(AND(3&gt;=$B33,3&lt;=$C33),"■","")</f>
        <v/>
      </c>
      <c r="H33" s="56" t="str">
        <f aca="false">IF(AND(4&gt;=$B33,4&lt;=$C33),"■","")</f>
        <v/>
      </c>
      <c r="I33" s="56" t="str">
        <f aca="false">IF(AND(5&gt;=$B33,5&lt;=$C33),"■","")</f>
        <v>■</v>
      </c>
      <c r="J33" s="56" t="str">
        <f aca="false">IF(AND(6&gt;=$B33,6&lt;=$C33),"■","")</f>
        <v>■</v>
      </c>
      <c r="K33" s="56" t="str">
        <f aca="false">IF(AND(7&gt;=$B33,7&lt;=$C33),"■","")</f>
        <v>■</v>
      </c>
      <c r="L33" s="56" t="str">
        <f aca="false">IF(AND(8&gt;=$B33,8&lt;=$C33),"■","")</f>
        <v>■</v>
      </c>
      <c r="M33" s="56" t="str">
        <f aca="false">IF(AND(9&gt;=$B33,9&lt;=$C33),"■","")</f>
        <v>■</v>
      </c>
      <c r="N33" s="56" t="str">
        <f aca="false">IF(AND(10&gt;=$B33,10&lt;=$C33),"■","")</f>
        <v/>
      </c>
      <c r="O33" s="56" t="str">
        <f aca="false">IF(AND(11&gt;=$B33,11&lt;=$C33),"■","")</f>
        <v/>
      </c>
      <c r="P33" s="56" t="str">
        <f aca="false">IF(AND(12&gt;=$B33,12&lt;=$C33),"■","")</f>
        <v/>
      </c>
    </row>
    <row r="34" customFormat="false" ht="15" hidden="false" customHeight="false" outlineLevel="0" collapsed="false">
      <c r="A34" s="12" t="s">
        <v>1717</v>
      </c>
      <c r="B34" s="14" t="n">
        <v>3</v>
      </c>
      <c r="C34" s="14" t="n">
        <v>4</v>
      </c>
      <c r="D34" s="12" t="s">
        <v>1667</v>
      </c>
      <c r="E34" s="56" t="str">
        <f aca="false">IF(AND(1&gt;=$B34,1&lt;=$C34),"■","")</f>
        <v/>
      </c>
      <c r="F34" s="56" t="str">
        <f aca="false">IF(AND(2&gt;=$B34,2&lt;=$C34),"■","")</f>
        <v/>
      </c>
      <c r="G34" s="56" t="str">
        <f aca="false">IF(AND(3&gt;=$B34,3&lt;=$C34),"■","")</f>
        <v>■</v>
      </c>
      <c r="H34" s="56" t="str">
        <f aca="false">IF(AND(4&gt;=$B34,4&lt;=$C34),"■","")</f>
        <v>■</v>
      </c>
      <c r="I34" s="56" t="str">
        <f aca="false">IF(AND(5&gt;=$B34,5&lt;=$C34),"■","")</f>
        <v/>
      </c>
      <c r="J34" s="56" t="str">
        <f aca="false">IF(AND(6&gt;=$B34,6&lt;=$C34),"■","")</f>
        <v/>
      </c>
      <c r="K34" s="56" t="str">
        <f aca="false">IF(AND(7&gt;=$B34,7&lt;=$C34),"■","")</f>
        <v/>
      </c>
      <c r="L34" s="56" t="str">
        <f aca="false">IF(AND(8&gt;=$B34,8&lt;=$C34),"■","")</f>
        <v/>
      </c>
      <c r="M34" s="56" t="str">
        <f aca="false">IF(AND(9&gt;=$B34,9&lt;=$C34),"■","")</f>
        <v/>
      </c>
      <c r="N34" s="56" t="str">
        <f aca="false">IF(AND(10&gt;=$B34,10&lt;=$C34),"■","")</f>
        <v/>
      </c>
      <c r="O34" s="56" t="str">
        <f aca="false">IF(AND(11&gt;=$B34,11&lt;=$C34),"■","")</f>
        <v/>
      </c>
      <c r="P34" s="56" t="str">
        <f aca="false">IF(AND(12&gt;=$B34,12&lt;=$C34),"■","")</f>
        <v/>
      </c>
    </row>
    <row r="35" customFormat="false" ht="15" hidden="false" customHeight="false" outlineLevel="0" collapsed="false">
      <c r="A35" s="12" t="s">
        <v>1718</v>
      </c>
      <c r="B35" s="14" t="n">
        <v>5</v>
      </c>
      <c r="C35" s="14" t="n">
        <v>10</v>
      </c>
      <c r="D35" s="12" t="s">
        <v>1719</v>
      </c>
      <c r="E35" s="56" t="str">
        <f aca="false">IF(AND(1&gt;=$B35,1&lt;=$C35),"■","")</f>
        <v/>
      </c>
      <c r="F35" s="56" t="str">
        <f aca="false">IF(AND(2&gt;=$B35,2&lt;=$C35),"■","")</f>
        <v/>
      </c>
      <c r="G35" s="56" t="str">
        <f aca="false">IF(AND(3&gt;=$B35,3&lt;=$C35),"■","")</f>
        <v/>
      </c>
      <c r="H35" s="56" t="str">
        <f aca="false">IF(AND(4&gt;=$B35,4&lt;=$C35),"■","")</f>
        <v/>
      </c>
      <c r="I35" s="56" t="str">
        <f aca="false">IF(AND(5&gt;=$B35,5&lt;=$C35),"■","")</f>
        <v>■</v>
      </c>
      <c r="J35" s="56" t="str">
        <f aca="false">IF(AND(6&gt;=$B35,6&lt;=$C35),"■","")</f>
        <v>■</v>
      </c>
      <c r="K35" s="56" t="str">
        <f aca="false">IF(AND(7&gt;=$B35,7&lt;=$C35),"■","")</f>
        <v>■</v>
      </c>
      <c r="L35" s="56" t="str">
        <f aca="false">IF(AND(8&gt;=$B35,8&lt;=$C35),"■","")</f>
        <v>■</v>
      </c>
      <c r="M35" s="56" t="str">
        <f aca="false">IF(AND(9&gt;=$B35,9&lt;=$C35),"■","")</f>
        <v>■</v>
      </c>
      <c r="N35" s="56" t="str">
        <f aca="false">IF(AND(10&gt;=$B35,10&lt;=$C35),"■","")</f>
        <v>■</v>
      </c>
      <c r="O35" s="56" t="str">
        <f aca="false">IF(AND(11&gt;=$B35,11&lt;=$C35),"■","")</f>
        <v/>
      </c>
      <c r="P35" s="56" t="str">
        <f aca="false">IF(AND(12&gt;=$B35,12&lt;=$C35),"■","")</f>
        <v/>
      </c>
    </row>
    <row r="36" customFormat="false" ht="15" hidden="false" customHeight="false" outlineLevel="0" collapsed="false">
      <c r="A36" s="12" t="s">
        <v>1720</v>
      </c>
      <c r="B36" s="14" t="n">
        <v>2</v>
      </c>
      <c r="C36" s="14" t="n">
        <v>10</v>
      </c>
      <c r="D36" s="12" t="s">
        <v>1721</v>
      </c>
      <c r="E36" s="56" t="str">
        <f aca="false">IF(AND(1&gt;=$B36,1&lt;=$C36),"■","")</f>
        <v/>
      </c>
      <c r="F36" s="56" t="str">
        <f aca="false">IF(AND(2&gt;=$B36,2&lt;=$C36),"■","")</f>
        <v>■</v>
      </c>
      <c r="G36" s="56" t="str">
        <f aca="false">IF(AND(3&gt;=$B36,3&lt;=$C36),"■","")</f>
        <v>■</v>
      </c>
      <c r="H36" s="56" t="str">
        <f aca="false">IF(AND(4&gt;=$B36,4&lt;=$C36),"■","")</f>
        <v>■</v>
      </c>
      <c r="I36" s="56" t="str">
        <f aca="false">IF(AND(5&gt;=$B36,5&lt;=$C36),"■","")</f>
        <v>■</v>
      </c>
      <c r="J36" s="56" t="str">
        <f aca="false">IF(AND(6&gt;=$B36,6&lt;=$C36),"■","")</f>
        <v>■</v>
      </c>
      <c r="K36" s="56" t="str">
        <f aca="false">IF(AND(7&gt;=$B36,7&lt;=$C36),"■","")</f>
        <v>■</v>
      </c>
      <c r="L36" s="56" t="str">
        <f aca="false">IF(AND(8&gt;=$B36,8&lt;=$C36),"■","")</f>
        <v>■</v>
      </c>
      <c r="M36" s="56" t="str">
        <f aca="false">IF(AND(9&gt;=$B36,9&lt;=$C36),"■","")</f>
        <v>■</v>
      </c>
      <c r="N36" s="56" t="str">
        <f aca="false">IF(AND(10&gt;=$B36,10&lt;=$C36),"■","")</f>
        <v>■</v>
      </c>
      <c r="O36" s="56" t="str">
        <f aca="false">IF(AND(11&gt;=$B36,11&lt;=$C36),"■","")</f>
        <v/>
      </c>
      <c r="P36" s="56" t="str">
        <f aca="false">IF(AND(12&gt;=$B36,12&lt;=$C36),"■","")</f>
        <v/>
      </c>
    </row>
    <row r="37" customFormat="false" ht="15" hidden="false" customHeight="false" outlineLevel="0" collapsed="false">
      <c r="A37" s="12" t="s">
        <v>1722</v>
      </c>
      <c r="B37" s="14" t="n">
        <v>2</v>
      </c>
      <c r="C37" s="14" t="n">
        <v>3</v>
      </c>
      <c r="D37" s="12" t="s">
        <v>1667</v>
      </c>
      <c r="E37" s="56" t="str">
        <f aca="false">IF(AND(1&gt;=$B37,1&lt;=$C37),"■","")</f>
        <v/>
      </c>
      <c r="F37" s="56" t="str">
        <f aca="false">IF(AND(2&gt;=$B37,2&lt;=$C37),"■","")</f>
        <v>■</v>
      </c>
      <c r="G37" s="56" t="str">
        <f aca="false">IF(AND(3&gt;=$B37,3&lt;=$C37),"■","")</f>
        <v>■</v>
      </c>
      <c r="H37" s="56" t="str">
        <f aca="false">IF(AND(4&gt;=$B37,4&lt;=$C37),"■","")</f>
        <v/>
      </c>
      <c r="I37" s="56" t="str">
        <f aca="false">IF(AND(5&gt;=$B37,5&lt;=$C37),"■","")</f>
        <v/>
      </c>
      <c r="J37" s="56" t="str">
        <f aca="false">IF(AND(6&gt;=$B37,6&lt;=$C37),"■","")</f>
        <v/>
      </c>
      <c r="K37" s="56" t="str">
        <f aca="false">IF(AND(7&gt;=$B37,7&lt;=$C37),"■","")</f>
        <v/>
      </c>
      <c r="L37" s="56" t="str">
        <f aca="false">IF(AND(8&gt;=$B37,8&lt;=$C37),"■","")</f>
        <v/>
      </c>
      <c r="M37" s="56" t="str">
        <f aca="false">IF(AND(9&gt;=$B37,9&lt;=$C37),"■","")</f>
        <v/>
      </c>
      <c r="N37" s="56" t="str">
        <f aca="false">IF(AND(10&gt;=$B37,10&lt;=$C37),"■","")</f>
        <v/>
      </c>
      <c r="O37" s="56" t="str">
        <f aca="false">IF(AND(11&gt;=$B37,11&lt;=$C37),"■","")</f>
        <v/>
      </c>
      <c r="P37" s="56" t="str">
        <f aca="false">IF(AND(12&gt;=$B37,12&lt;=$C37),"■","")</f>
        <v/>
      </c>
    </row>
    <row r="38" customFormat="false" ht="15" hidden="false" customHeight="false" outlineLevel="0" collapsed="false">
      <c r="A38" s="12" t="s">
        <v>1723</v>
      </c>
      <c r="B38" s="14" t="n">
        <v>4</v>
      </c>
      <c r="C38" s="14" t="n">
        <v>8</v>
      </c>
      <c r="D38" s="12" t="s">
        <v>1724</v>
      </c>
      <c r="E38" s="56" t="str">
        <f aca="false">IF(AND(1&gt;=$B38,1&lt;=$C38),"■","")</f>
        <v/>
      </c>
      <c r="F38" s="56" t="str">
        <f aca="false">IF(AND(2&gt;=$B38,2&lt;=$C38),"■","")</f>
        <v/>
      </c>
      <c r="G38" s="56" t="str">
        <f aca="false">IF(AND(3&gt;=$B38,3&lt;=$C38),"■","")</f>
        <v/>
      </c>
      <c r="H38" s="56" t="str">
        <f aca="false">IF(AND(4&gt;=$B38,4&lt;=$C38),"■","")</f>
        <v>■</v>
      </c>
      <c r="I38" s="56" t="str">
        <f aca="false">IF(AND(5&gt;=$B38,5&lt;=$C38),"■","")</f>
        <v>■</v>
      </c>
      <c r="J38" s="56" t="str">
        <f aca="false">IF(AND(6&gt;=$B38,6&lt;=$C38),"■","")</f>
        <v>■</v>
      </c>
      <c r="K38" s="56" t="str">
        <f aca="false">IF(AND(7&gt;=$B38,7&lt;=$C38),"■","")</f>
        <v>■</v>
      </c>
      <c r="L38" s="56" t="str">
        <f aca="false">IF(AND(8&gt;=$B38,8&lt;=$C38),"■","")</f>
        <v>■</v>
      </c>
      <c r="M38" s="56" t="str">
        <f aca="false">IF(AND(9&gt;=$B38,9&lt;=$C38),"■","")</f>
        <v/>
      </c>
      <c r="N38" s="56" t="str">
        <f aca="false">IF(AND(10&gt;=$B38,10&lt;=$C38),"■","")</f>
        <v/>
      </c>
      <c r="O38" s="56" t="str">
        <f aca="false">IF(AND(11&gt;=$B38,11&lt;=$C38),"■","")</f>
        <v/>
      </c>
      <c r="P38" s="56" t="str">
        <f aca="false">IF(AND(12&gt;=$B38,12&lt;=$C38),"■","")</f>
        <v/>
      </c>
    </row>
    <row r="39" customFormat="false" ht="15" hidden="false" customHeight="false" outlineLevel="0" collapsed="false">
      <c r="A39" s="12" t="s">
        <v>1725</v>
      </c>
      <c r="B39" s="14" t="n">
        <v>3</v>
      </c>
      <c r="C39" s="14" t="n">
        <v>12</v>
      </c>
      <c r="D39" s="12" t="s">
        <v>1667</v>
      </c>
      <c r="E39" s="56" t="str">
        <f aca="false">IF(AND(1&gt;=$B39,1&lt;=$C39),"■","")</f>
        <v/>
      </c>
      <c r="F39" s="56" t="str">
        <f aca="false">IF(AND(2&gt;=$B39,2&lt;=$C39),"■","")</f>
        <v/>
      </c>
      <c r="G39" s="56" t="str">
        <f aca="false">IF(AND(3&gt;=$B39,3&lt;=$C39),"■","")</f>
        <v>■</v>
      </c>
      <c r="H39" s="56" t="str">
        <f aca="false">IF(AND(4&gt;=$B39,4&lt;=$C39),"■","")</f>
        <v>■</v>
      </c>
      <c r="I39" s="56" t="str">
        <f aca="false">IF(AND(5&gt;=$B39,5&lt;=$C39),"■","")</f>
        <v>■</v>
      </c>
      <c r="J39" s="56" t="str">
        <f aca="false">IF(AND(6&gt;=$B39,6&lt;=$C39),"■","")</f>
        <v>■</v>
      </c>
      <c r="K39" s="56" t="str">
        <f aca="false">IF(AND(7&gt;=$B39,7&lt;=$C39),"■","")</f>
        <v>■</v>
      </c>
      <c r="L39" s="56" t="str">
        <f aca="false">IF(AND(8&gt;=$B39,8&lt;=$C39),"■","")</f>
        <v>■</v>
      </c>
      <c r="M39" s="56" t="str">
        <f aca="false">IF(AND(9&gt;=$B39,9&lt;=$C39),"■","")</f>
        <v>■</v>
      </c>
      <c r="N39" s="56" t="str">
        <f aca="false">IF(AND(10&gt;=$B39,10&lt;=$C39),"■","")</f>
        <v>■</v>
      </c>
      <c r="O39" s="56" t="str">
        <f aca="false">IF(AND(11&gt;=$B39,11&lt;=$C39),"■","")</f>
        <v>■</v>
      </c>
      <c r="P39" s="56" t="str">
        <f aca="false">IF(AND(12&gt;=$B39,12&lt;=$C39),"■","")</f>
        <v>■</v>
      </c>
    </row>
    <row r="40" customFormat="false" ht="15" hidden="false" customHeight="false" outlineLevel="0" collapsed="false">
      <c r="A40" s="12" t="s">
        <v>1726</v>
      </c>
      <c r="B40" s="14" t="n">
        <v>3</v>
      </c>
      <c r="C40" s="14" t="n">
        <v>12</v>
      </c>
      <c r="D40" s="12" t="s">
        <v>1727</v>
      </c>
      <c r="E40" s="56" t="str">
        <f aca="false">IF(AND(1&gt;=$B40,1&lt;=$C40),"■","")</f>
        <v/>
      </c>
      <c r="F40" s="56" t="str">
        <f aca="false">IF(AND(2&gt;=$B40,2&lt;=$C40),"■","")</f>
        <v/>
      </c>
      <c r="G40" s="56" t="str">
        <f aca="false">IF(AND(3&gt;=$B40,3&lt;=$C40),"■","")</f>
        <v>■</v>
      </c>
      <c r="H40" s="56" t="str">
        <f aca="false">IF(AND(4&gt;=$B40,4&lt;=$C40),"■","")</f>
        <v>■</v>
      </c>
      <c r="I40" s="56" t="str">
        <f aca="false">IF(AND(5&gt;=$B40,5&lt;=$C40),"■","")</f>
        <v>■</v>
      </c>
      <c r="J40" s="56" t="str">
        <f aca="false">IF(AND(6&gt;=$B40,6&lt;=$C40),"■","")</f>
        <v>■</v>
      </c>
      <c r="K40" s="56" t="str">
        <f aca="false">IF(AND(7&gt;=$B40,7&lt;=$C40),"■","")</f>
        <v>■</v>
      </c>
      <c r="L40" s="56" t="str">
        <f aca="false">IF(AND(8&gt;=$B40,8&lt;=$C40),"■","")</f>
        <v>■</v>
      </c>
      <c r="M40" s="56" t="str">
        <f aca="false">IF(AND(9&gt;=$B40,9&lt;=$C40),"■","")</f>
        <v>■</v>
      </c>
      <c r="N40" s="56" t="str">
        <f aca="false">IF(AND(10&gt;=$B40,10&lt;=$C40),"■","")</f>
        <v>■</v>
      </c>
      <c r="O40" s="56" t="str">
        <f aca="false">IF(AND(11&gt;=$B40,11&lt;=$C40),"■","")</f>
        <v>■</v>
      </c>
      <c r="P40" s="56" t="str">
        <f aca="false">IF(AND(12&gt;=$B40,12&lt;=$C40),"■","")</f>
        <v>■</v>
      </c>
    </row>
    <row r="43" customFormat="false" ht="15" hidden="false" customHeight="false" outlineLevel="0" collapsed="false">
      <c r="A43" s="4" t="s">
        <v>1728</v>
      </c>
    </row>
    <row r="44" customFormat="false" ht="30" hidden="false" customHeight="true" outlineLevel="0" collapsed="false">
      <c r="A44" s="5" t="s">
        <v>1729</v>
      </c>
      <c r="B44" s="5" t="s">
        <v>1730</v>
      </c>
      <c r="C44" s="5" t="s">
        <v>1731</v>
      </c>
      <c r="D44" s="5" t="s">
        <v>210</v>
      </c>
      <c r="E44" s="5" t="s">
        <v>1711</v>
      </c>
      <c r="F44" s="5" t="s">
        <v>1732</v>
      </c>
      <c r="G44" s="5" t="s">
        <v>1733</v>
      </c>
      <c r="H44" s="5" t="s">
        <v>1734</v>
      </c>
    </row>
    <row r="45" customFormat="false" ht="31.5" hidden="false" customHeight="true" outlineLevel="0" collapsed="false">
      <c r="A45" s="47" t="s">
        <v>1735</v>
      </c>
      <c r="B45" s="19" t="n">
        <f aca="false">'Business Case &amp; Scenarios'!D22</f>
        <v>191.813244115143</v>
      </c>
      <c r="C45" s="19" t="n">
        <f aca="false">'Business Case &amp; Scenarios'!D33</f>
        <v>315.803698507116</v>
      </c>
      <c r="D45" s="8" t="s">
        <v>1736</v>
      </c>
      <c r="E45" s="8" t="s">
        <v>1727</v>
      </c>
      <c r="F45" s="8" t="s">
        <v>1737</v>
      </c>
      <c r="G45" s="8" t="s">
        <v>1738</v>
      </c>
      <c r="H45" s="8" t="s">
        <v>1739</v>
      </c>
    </row>
    <row r="46" customFormat="false" ht="31.5" hidden="false" customHeight="true" outlineLevel="0" collapsed="false">
      <c r="A46" s="47" t="s">
        <v>1171</v>
      </c>
      <c r="B46" s="20" t="n">
        <f aca="false">'Business Case &amp; Scenarios'!D37</f>
        <v>0.018232759975489</v>
      </c>
      <c r="C46" s="20" t="n">
        <f aca="false">'Business Case &amp; Scenarios'!D38</f>
        <v>0.0303083348251781</v>
      </c>
      <c r="D46" s="8" t="s">
        <v>1740</v>
      </c>
      <c r="E46" s="8" t="s">
        <v>1727</v>
      </c>
      <c r="F46" s="8" t="s">
        <v>1737</v>
      </c>
      <c r="G46" s="8" t="s">
        <v>1741</v>
      </c>
      <c r="H46" s="8" t="s">
        <v>1742</v>
      </c>
    </row>
    <row r="47" customFormat="false" ht="31.5" hidden="false" customHeight="true" outlineLevel="0" collapsed="false">
      <c r="A47" s="47" t="s">
        <v>1308</v>
      </c>
      <c r="B47" s="32" t="n">
        <f aca="false">'Business Case &amp; Scenarios'!D41</f>
        <v>22</v>
      </c>
      <c r="C47" s="32" t="n">
        <f aca="false">'Business Case &amp; Scenarios'!D40</f>
        <v>17</v>
      </c>
      <c r="D47" s="8" t="s">
        <v>1743</v>
      </c>
      <c r="E47" s="8" t="s">
        <v>1667</v>
      </c>
      <c r="F47" s="8" t="s">
        <v>1737</v>
      </c>
      <c r="G47" s="8" t="s">
        <v>1744</v>
      </c>
      <c r="H47" s="8" t="s">
        <v>1742</v>
      </c>
    </row>
    <row r="48" customFormat="false" ht="31.5" hidden="false" customHeight="true" outlineLevel="0" collapsed="false">
      <c r="A48" s="47" t="s">
        <v>1745</v>
      </c>
      <c r="B48" s="32" t="n">
        <f aca="false">SUM('Diagnosis &amp; Store Segmentation'!$E$106:$E$165)</f>
        <v>56194.847826087</v>
      </c>
      <c r="C48" s="32" t="n">
        <f aca="false">SUM('Diagnosis &amp; Store Segmentation'!$E$106:$E$165)*(1-0.02)</f>
        <v>55070.9508695652</v>
      </c>
      <c r="D48" s="8" t="s">
        <v>1469</v>
      </c>
      <c r="E48" s="8" t="s">
        <v>1667</v>
      </c>
      <c r="F48" s="8" t="s">
        <v>1746</v>
      </c>
      <c r="G48" s="8" t="s">
        <v>1747</v>
      </c>
      <c r="H48" s="8" t="s">
        <v>1748</v>
      </c>
    </row>
    <row r="49" customFormat="false" ht="31.5" hidden="false" customHeight="true" outlineLevel="0" collapsed="false">
      <c r="A49" s="47" t="s">
        <v>420</v>
      </c>
      <c r="B49" s="20" t="n">
        <f aca="false">'Financial Analysis'!O25</f>
        <v>0.058830842470925</v>
      </c>
      <c r="C49" s="20" t="n">
        <f aca="false">'Financial Analysis'!O25-'Business Case &amp; Scenarios'!D6*SUMPRODUCT((1-'Business Case &amp; Scenarios'!$AD$176:$AD$235)*'Business Case &amp; Scenarios'!$D$176:$D$235)/SUM('Diagnosis &amp; Store Segmentation'!$AF$106:$AF$165)</f>
        <v>0.0551873198970284</v>
      </c>
      <c r="D49" s="8" t="s">
        <v>1749</v>
      </c>
      <c r="E49" s="8" t="s">
        <v>1544</v>
      </c>
      <c r="F49" s="8" t="s">
        <v>1746</v>
      </c>
      <c r="G49" s="8" t="s">
        <v>1750</v>
      </c>
      <c r="H49" s="8" t="s">
        <v>1751</v>
      </c>
    </row>
    <row r="50" customFormat="false" ht="31.5" hidden="false" customHeight="true" outlineLevel="0" collapsed="false">
      <c r="A50" s="47" t="s">
        <v>330</v>
      </c>
      <c r="B50" s="20" t="n">
        <f aca="false">'Financial Analysis'!O27</f>
        <v>0.0247462309874041</v>
      </c>
      <c r="C50" s="20" t="n">
        <f aca="false">'Financial Analysis'!O27-'Business Case &amp; Scenarios'!D8*SUMPRODUCT((1-'Business Case &amp; Scenarios'!$AD$176:$AD$235)*'Business Case &amp; Scenarios'!$F$176:$F$235)/SUM('Diagnosis &amp; Store Segmentation'!$F$106:$F$165)</f>
        <v>0.0220878472472889</v>
      </c>
      <c r="D50" s="8" t="s">
        <v>1740</v>
      </c>
      <c r="E50" s="8" t="s">
        <v>1647</v>
      </c>
      <c r="F50" s="8" t="s">
        <v>1746</v>
      </c>
      <c r="G50" s="8" t="s">
        <v>1752</v>
      </c>
      <c r="H50" s="8" t="s">
        <v>1751</v>
      </c>
    </row>
    <row r="51" customFormat="false" ht="31.5" hidden="false" customHeight="true" outlineLevel="0" collapsed="false">
      <c r="A51" s="47" t="s">
        <v>1753</v>
      </c>
      <c r="B51" s="19" t="n">
        <f aca="false">SUM('Diagnosis &amp; Store Segmentation'!$E$106:$E$165)/SUM('Diagnosis &amp; Store Segmentation'!$K$106:$K$165)</f>
        <v>36.8082388008493</v>
      </c>
      <c r="C51" s="19" t="n">
        <f aca="false">SUM('Diagnosis &amp; Store Segmentation'!$E$106:$E$165)/(SUM('Diagnosis &amp; Store Segmentation'!$K$106:$K$165)-'Business Case &amp; Scenarios'!D9*SUMPRODUCT((1-'Business Case &amp; Scenarios'!$AD$176:$AD$235)*'Business Case &amp; Scenarios'!$J$176:$J$235))</f>
        <v>38.8820953879687</v>
      </c>
      <c r="D51" s="8" t="s">
        <v>1754</v>
      </c>
      <c r="E51" s="8" t="s">
        <v>1667</v>
      </c>
      <c r="F51" s="8" t="s">
        <v>1746</v>
      </c>
      <c r="G51" s="8" t="s">
        <v>1755</v>
      </c>
      <c r="H51" s="8" t="s">
        <v>1756</v>
      </c>
    </row>
    <row r="52" customFormat="false" ht="31.5" hidden="false" customHeight="true" outlineLevel="0" collapsed="false">
      <c r="A52" s="47" t="s">
        <v>116</v>
      </c>
      <c r="B52" s="19" t="n">
        <f aca="false">SUMPRODUCT('Diagnosis &amp; Store Segmentation'!$J$106:$J$165,'Diagnosis &amp; Store Segmentation'!$E$106:$E$165)/SUM('Diagnosis &amp; Store Segmentation'!$E$106:$E$165)</f>
        <v>38.5707073911696</v>
      </c>
      <c r="C52" s="19" t="n">
        <f aca="false">SUMPRODUCT('Diagnosis &amp; Store Segmentation'!$J$106:$J$165,'Diagnosis &amp; Store Segmentation'!$E$106:$E$165)/SUM('Diagnosis &amp; Store Segmentation'!$E$106:$E$165)-'Business Case &amp; Scenarios'!D10*SUMPRODUCT((1-'Business Case &amp; Scenarios'!$AD$176:$AD$235)*'Business Case &amp; Scenarios'!$H$176:$H$235)*100000/(SUM('Diagnosis &amp; Store Segmentation'!$E$106:$E$165)*'Assumptions &amp; Data'!$C$63/'Assumptions &amp; Data'!$C$85)</f>
        <v>37.729266938581</v>
      </c>
      <c r="D52" s="8" t="s">
        <v>1757</v>
      </c>
      <c r="E52" s="8" t="s">
        <v>1667</v>
      </c>
      <c r="F52" s="8" t="s">
        <v>1746</v>
      </c>
      <c r="G52" s="8" t="s">
        <v>1701</v>
      </c>
      <c r="H52" s="8" t="s">
        <v>1756</v>
      </c>
    </row>
    <row r="53" customFormat="false" ht="31.5" hidden="false" customHeight="true" outlineLevel="0" collapsed="false">
      <c r="A53" s="47" t="s">
        <v>1758</v>
      </c>
      <c r="B53" s="20" t="n">
        <f aca="false">'Financial Analysis'!O19/'Financial Analysis'!O8</f>
        <v>0.0343323498965162</v>
      </c>
      <c r="C53" s="20" t="n">
        <f aca="false">('Financial Analysis'!O19/'Assumptions &amp; Data'!$C$85-'Business Case &amp; Scenarios'!D11*SUMPRODUCT((1-'Business Case &amp; Scenarios'!$AD$176:$AD$235)*'Business Case &amp; Scenarios'!$I$176:$I$235))/SUM('Diagnosis &amp; Store Segmentation'!$F$106:$F$165)</f>
        <v>0.0325546873742367</v>
      </c>
      <c r="D53" s="8" t="s">
        <v>1740</v>
      </c>
      <c r="E53" s="8" t="s">
        <v>1721</v>
      </c>
      <c r="F53" s="8" t="s">
        <v>1737</v>
      </c>
      <c r="G53" s="8" t="s">
        <v>1759</v>
      </c>
      <c r="H53" s="8" t="s">
        <v>1751</v>
      </c>
    </row>
    <row r="54" customFormat="false" ht="31.5" hidden="false" customHeight="true" outlineLevel="0" collapsed="false">
      <c r="A54" s="47" t="s">
        <v>1760</v>
      </c>
      <c r="B54" s="18" t="n">
        <v>0</v>
      </c>
      <c r="C54" s="19" t="n">
        <f aca="false">'Business Case &amp; Scenarios'!O87</f>
        <v>129.790454391972</v>
      </c>
      <c r="D54" s="8" t="s">
        <v>1736</v>
      </c>
      <c r="E54" s="8" t="s">
        <v>1727</v>
      </c>
      <c r="F54" s="8" t="s">
        <v>1737</v>
      </c>
      <c r="G54" s="8" t="s">
        <v>1761</v>
      </c>
      <c r="H54" s="8" t="s">
        <v>1762</v>
      </c>
    </row>
    <row r="57" customFormat="false" ht="15" hidden="false" customHeight="false" outlineLevel="0" collapsed="false">
      <c r="A57" s="4" t="s">
        <v>1763</v>
      </c>
    </row>
    <row r="58" customFormat="false" ht="21.75" hidden="false" customHeight="true" outlineLevel="0" collapsed="false">
      <c r="A58" s="5" t="s">
        <v>1764</v>
      </c>
      <c r="B58" s="5" t="s">
        <v>1765</v>
      </c>
      <c r="C58" s="5" t="s">
        <v>1766</v>
      </c>
      <c r="D58" s="5" t="s">
        <v>1767</v>
      </c>
      <c r="E58" s="5"/>
      <c r="F58" s="5"/>
      <c r="G58" s="5"/>
      <c r="H58" s="5"/>
    </row>
    <row r="59" customFormat="false" ht="15" hidden="false" customHeight="true" outlineLevel="0" collapsed="false">
      <c r="A59" s="12" t="s">
        <v>1768</v>
      </c>
      <c r="B59" s="20" t="n">
        <f aca="false">SUMPRODUCT(('Assumptions &amp; Data'!$C$205:$C$924&gt;='Assumptions &amp; Data'!$C$62)*'Assumptions &amp; Data'!$D$205:$D$924*'Assumptions &amp; Data'!$V$205:$V$924)/SUMIFS('Assumptions &amp; Data'!$D$205:$D$924,'Assumptions &amp; Data'!$C$205:$C$924,"&gt;="&amp;'Assumptions &amp; Data'!$C$62)</f>
        <v>0.862099807231283</v>
      </c>
      <c r="C59" s="20" t="n">
        <f aca="false">B59+(-0.01)</f>
        <v>0.852099807231283</v>
      </c>
      <c r="D59" s="7" t="s">
        <v>1769</v>
      </c>
      <c r="E59" s="7"/>
      <c r="F59" s="7"/>
      <c r="G59" s="7"/>
      <c r="H59" s="7"/>
    </row>
    <row r="60" customFormat="false" ht="15" hidden="false" customHeight="true" outlineLevel="0" collapsed="false">
      <c r="A60" s="12" t="s">
        <v>1770</v>
      </c>
      <c r="B60" s="19" t="n">
        <f aca="false">SUMPRODUCT(('Assumptions &amp; Data'!$C$205:$C$924&gt;='Assumptions &amp; Data'!$C$62)*'Assumptions &amp; Data'!$D$205:$D$924*'Assumptions &amp; Data'!$W$205:$W$924)/SUMIFS('Assumptions &amp; Data'!$D$205:$D$924,'Assumptions &amp; Data'!$C$205:$C$924,"&gt;="&amp;'Assumptions &amp; Data'!$C$62)</f>
        <v>12.1459868864661</v>
      </c>
      <c r="C60" s="19" t="n">
        <f aca="false">B60+(0.5)</f>
        <v>12.6459868864661</v>
      </c>
      <c r="D60" s="7" t="s">
        <v>1771</v>
      </c>
      <c r="E60" s="7"/>
      <c r="F60" s="7"/>
      <c r="G60" s="7"/>
      <c r="H60" s="7"/>
    </row>
    <row r="61" customFormat="false" ht="15" hidden="false" customHeight="true" outlineLevel="0" collapsed="false">
      <c r="A61" s="12" t="s">
        <v>424</v>
      </c>
      <c r="B61" s="20" t="n">
        <f aca="false">SUMPRODUCT(('Assumptions &amp; Data'!$C$205:$C$924&gt;='Assumptions &amp; Data'!$C$62)*'Assumptions &amp; Data'!$D$205:$D$924*'Assumptions &amp; Data'!$K$205:$K$924)/SUMIFS('Assumptions &amp; Data'!$D$205:$D$924,'Assumptions &amp; Data'!$C$205:$C$924,"&gt;="&amp;'Assumptions &amp; Data'!$C$62)</f>
        <v>0.0420973724382129</v>
      </c>
      <c r="C61" s="20" t="n">
        <f aca="false">B61+(0.01)</f>
        <v>0.0520973724382129</v>
      </c>
      <c r="D61" s="7" t="s">
        <v>1772</v>
      </c>
      <c r="E61" s="7"/>
      <c r="F61" s="7"/>
      <c r="G61" s="7"/>
      <c r="H61" s="7"/>
    </row>
    <row r="62" customFormat="false" ht="15" hidden="false" customHeight="true" outlineLevel="0" collapsed="false">
      <c r="A62" s="12" t="s">
        <v>433</v>
      </c>
      <c r="B62" s="20" t="n">
        <f aca="false">SUMPRODUCT(('Assumptions &amp; Data'!$C$205:$C$924&gt;='Assumptions &amp; Data'!$C$62)*'Assumptions &amp; Data'!$D$205:$D$924*'Assumptions &amp; Data'!$T$205:$T$924)/SUMIFS('Assumptions &amp; Data'!$D$205:$D$924,'Assumptions &amp; Data'!$C$205:$C$924,"&gt;="&amp;'Assumptions &amp; Data'!$C$62)</f>
        <v>0.781582669461807</v>
      </c>
      <c r="C62" s="20" t="n">
        <f aca="false">B62+(-0.02)</f>
        <v>0.761582669461807</v>
      </c>
      <c r="D62" s="7" t="s">
        <v>1773</v>
      </c>
      <c r="E62" s="7"/>
      <c r="F62" s="7"/>
      <c r="G62" s="7"/>
      <c r="H62" s="7"/>
    </row>
    <row r="63" customFormat="false" ht="15" hidden="false" customHeight="true" outlineLevel="0" collapsed="false">
      <c r="A63" s="12" t="s">
        <v>1172</v>
      </c>
      <c r="B63" s="32" t="n">
        <f aca="false">SUM('Diagnosis &amp; Store Segmentation'!$E$106:$E$165)</f>
        <v>56194.847826087</v>
      </c>
      <c r="C63" s="32" t="n">
        <f aca="false">B63*(1+(-0.02))</f>
        <v>55070.9508695652</v>
      </c>
      <c r="D63" s="7" t="s">
        <v>1774</v>
      </c>
      <c r="E63" s="7"/>
      <c r="F63" s="7"/>
      <c r="G63" s="7"/>
      <c r="H63" s="7"/>
    </row>
    <row r="66" customFormat="false" ht="15" hidden="false" customHeight="false" outlineLevel="0" collapsed="false">
      <c r="A66" s="4" t="s">
        <v>1775</v>
      </c>
    </row>
    <row r="67" customFormat="false" ht="30" hidden="false" customHeight="true" outlineLevel="0" collapsed="false">
      <c r="A67" s="6" t="s">
        <v>1746</v>
      </c>
      <c r="B67" s="8" t="s">
        <v>1776</v>
      </c>
      <c r="C67" s="8"/>
      <c r="D67" s="8"/>
      <c r="E67" s="8"/>
      <c r="F67" s="8"/>
      <c r="G67" s="8"/>
      <c r="H67" s="12" t="s">
        <v>1652</v>
      </c>
    </row>
    <row r="68" customFormat="false" ht="30" hidden="false" customHeight="true" outlineLevel="0" collapsed="false">
      <c r="A68" s="6" t="s">
        <v>1777</v>
      </c>
      <c r="B68" s="8" t="s">
        <v>1778</v>
      </c>
      <c r="C68" s="8"/>
      <c r="D68" s="8"/>
      <c r="E68" s="8"/>
      <c r="F68" s="8"/>
      <c r="G68" s="8"/>
      <c r="H68" s="12" t="s">
        <v>1779</v>
      </c>
    </row>
    <row r="69" customFormat="false" ht="30" hidden="false" customHeight="true" outlineLevel="0" collapsed="false">
      <c r="A69" s="6" t="s">
        <v>1737</v>
      </c>
      <c r="B69" s="8" t="s">
        <v>1780</v>
      </c>
      <c r="C69" s="8"/>
      <c r="D69" s="8"/>
      <c r="E69" s="8"/>
      <c r="F69" s="8"/>
      <c r="G69" s="8"/>
      <c r="H69" s="12" t="s">
        <v>1781</v>
      </c>
    </row>
    <row r="70" customFormat="false" ht="30" hidden="false" customHeight="true" outlineLevel="0" collapsed="false">
      <c r="A70" s="6" t="s">
        <v>1782</v>
      </c>
      <c r="B70" s="8" t="s">
        <v>1783</v>
      </c>
      <c r="C70" s="8"/>
      <c r="D70" s="8"/>
      <c r="E70" s="8"/>
      <c r="F70" s="8"/>
      <c r="G70" s="8"/>
      <c r="H70" s="12" t="s">
        <v>1727</v>
      </c>
    </row>
    <row r="71" customFormat="false" ht="30" hidden="false" customHeight="true" outlineLevel="0" collapsed="false">
      <c r="A71" s="6" t="s">
        <v>1784</v>
      </c>
      <c r="B71" s="8" t="s">
        <v>1785</v>
      </c>
      <c r="C71" s="8"/>
      <c r="D71" s="8"/>
      <c r="E71" s="8"/>
      <c r="F71" s="8"/>
      <c r="G71" s="8"/>
      <c r="H71" s="12" t="s">
        <v>1786</v>
      </c>
    </row>
    <row r="74" customFormat="false" ht="15" hidden="false" customHeight="false" outlineLevel="0" collapsed="false">
      <c r="A74" s="4" t="s">
        <v>1787</v>
      </c>
    </row>
    <row r="75" customFormat="false" ht="21.75" hidden="false" customHeight="true" outlineLevel="0" collapsed="false">
      <c r="A75" s="5" t="s">
        <v>1788</v>
      </c>
      <c r="B75" s="5" t="s">
        <v>1789</v>
      </c>
      <c r="C75" s="5"/>
      <c r="D75" s="5"/>
      <c r="E75" s="5"/>
      <c r="F75" s="5" t="s">
        <v>1790</v>
      </c>
      <c r="G75" s="5"/>
      <c r="H75" s="5"/>
      <c r="I75" s="5"/>
    </row>
    <row r="76" customFormat="false" ht="27.75" hidden="false" customHeight="true" outlineLevel="0" collapsed="false">
      <c r="A76" s="6" t="s">
        <v>11</v>
      </c>
      <c r="B76" s="8" t="s">
        <v>1791</v>
      </c>
      <c r="C76" s="8"/>
      <c r="D76" s="8"/>
      <c r="E76" s="8"/>
      <c r="F76" s="8" t="s">
        <v>1792</v>
      </c>
      <c r="G76" s="8"/>
      <c r="H76" s="8"/>
      <c r="I76" s="8"/>
    </row>
    <row r="77" customFormat="false" ht="27.75" hidden="false" customHeight="true" outlineLevel="0" collapsed="false">
      <c r="A77" s="6" t="s">
        <v>25</v>
      </c>
      <c r="B77" s="8" t="s">
        <v>1793</v>
      </c>
      <c r="C77" s="8"/>
      <c r="D77" s="8"/>
      <c r="E77" s="8"/>
      <c r="F77" s="8" t="s">
        <v>1794</v>
      </c>
      <c r="G77" s="8"/>
      <c r="H77" s="8"/>
      <c r="I77" s="8"/>
    </row>
    <row r="78" customFormat="false" ht="27.75" hidden="false" customHeight="true" outlineLevel="0" collapsed="false">
      <c r="A78" s="6" t="s">
        <v>1227</v>
      </c>
      <c r="B78" s="8" t="s">
        <v>1795</v>
      </c>
      <c r="C78" s="8"/>
      <c r="D78" s="8"/>
      <c r="E78" s="8"/>
      <c r="F78" s="8" t="s">
        <v>1796</v>
      </c>
      <c r="G78" s="8"/>
      <c r="H78" s="8"/>
      <c r="I78" s="8"/>
    </row>
    <row r="79" customFormat="false" ht="27.75" hidden="false" customHeight="true" outlineLevel="0" collapsed="false">
      <c r="A79" s="6" t="s">
        <v>1797</v>
      </c>
      <c r="B79" s="8" t="s">
        <v>1798</v>
      </c>
      <c r="C79" s="8"/>
      <c r="D79" s="8"/>
      <c r="E79" s="8"/>
      <c r="F79" s="8" t="s">
        <v>1799</v>
      </c>
      <c r="G79" s="8"/>
      <c r="H79" s="8"/>
      <c r="I79" s="8"/>
    </row>
    <row r="80" customFormat="false" ht="27.75" hidden="false" customHeight="true" outlineLevel="0" collapsed="false">
      <c r="A80" s="6" t="s">
        <v>1800</v>
      </c>
      <c r="B80" s="8" t="s">
        <v>1801</v>
      </c>
      <c r="C80" s="8"/>
      <c r="D80" s="8"/>
      <c r="E80" s="8"/>
      <c r="F80" s="8" t="s">
        <v>1802</v>
      </c>
      <c r="G80" s="8"/>
      <c r="H80" s="8"/>
      <c r="I80" s="8"/>
    </row>
    <row r="81" customFormat="false" ht="27.75" hidden="false" customHeight="true" outlineLevel="0" collapsed="false">
      <c r="A81" s="6" t="s">
        <v>1803</v>
      </c>
      <c r="B81" s="8" t="s">
        <v>1804</v>
      </c>
      <c r="C81" s="8"/>
      <c r="D81" s="8"/>
      <c r="E81" s="8"/>
      <c r="F81" s="8" t="s">
        <v>1805</v>
      </c>
      <c r="G81" s="8"/>
      <c r="H81" s="8"/>
      <c r="I81" s="8"/>
    </row>
    <row r="82" customFormat="false" ht="27.75" hidden="false" customHeight="true" outlineLevel="0" collapsed="false">
      <c r="A82" s="6" t="s">
        <v>1806</v>
      </c>
      <c r="B82" s="8" t="s">
        <v>1807</v>
      </c>
      <c r="C82" s="8"/>
      <c r="D82" s="8"/>
      <c r="E82" s="8"/>
      <c r="F82" s="8" t="s">
        <v>1808</v>
      </c>
      <c r="G82" s="8"/>
      <c r="H82" s="8"/>
      <c r="I82" s="8"/>
    </row>
    <row r="83" customFormat="false" ht="27.75" hidden="false" customHeight="true" outlineLevel="0" collapsed="false">
      <c r="A83" s="6" t="s">
        <v>1809</v>
      </c>
      <c r="B83" s="8" t="s">
        <v>1810</v>
      </c>
      <c r="C83" s="8"/>
      <c r="D83" s="8"/>
      <c r="E83" s="8"/>
      <c r="F83" s="8" t="s">
        <v>1811</v>
      </c>
      <c r="G83" s="8"/>
      <c r="H83" s="8"/>
      <c r="I83" s="8"/>
    </row>
    <row r="84" customFormat="false" ht="27.75" hidden="false" customHeight="true" outlineLevel="0" collapsed="false">
      <c r="A84" s="6" t="s">
        <v>1812</v>
      </c>
      <c r="B84" s="8" t="s">
        <v>1813</v>
      </c>
      <c r="C84" s="8"/>
      <c r="D84" s="8"/>
      <c r="E84" s="8"/>
      <c r="F84" s="8" t="s">
        <v>1814</v>
      </c>
      <c r="G84" s="8"/>
      <c r="H84" s="8"/>
      <c r="I84" s="8"/>
    </row>
    <row r="86" customFormat="false" ht="15" hidden="false" customHeight="false" outlineLevel="0" collapsed="false">
      <c r="A86" s="3" t="s">
        <v>1815</v>
      </c>
    </row>
    <row r="87" customFormat="false" ht="15" hidden="false" customHeight="false" outlineLevel="0" collapsed="false">
      <c r="A87" s="2" t="s">
        <v>1</v>
      </c>
    </row>
  </sheetData>
  <mergeCells count="48"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I18:J18"/>
    <mergeCell ref="I19:J19"/>
    <mergeCell ref="I20:J20"/>
    <mergeCell ref="I21:J21"/>
    <mergeCell ref="I22:J22"/>
    <mergeCell ref="I23:J23"/>
    <mergeCell ref="I24:J24"/>
    <mergeCell ref="D58:H58"/>
    <mergeCell ref="D59:H59"/>
    <mergeCell ref="D60:H60"/>
    <mergeCell ref="D61:H61"/>
    <mergeCell ref="D62:H62"/>
    <mergeCell ref="D63:H63"/>
    <mergeCell ref="B67:G67"/>
    <mergeCell ref="B68:G68"/>
    <mergeCell ref="B69:G69"/>
    <mergeCell ref="B70:G70"/>
    <mergeCell ref="B71:G71"/>
    <mergeCell ref="B75:E75"/>
    <mergeCell ref="F75:I75"/>
    <mergeCell ref="B76:E76"/>
    <mergeCell ref="F76:I76"/>
    <mergeCell ref="B77:E77"/>
    <mergeCell ref="F77:I77"/>
    <mergeCell ref="B78:E78"/>
    <mergeCell ref="F78:I78"/>
    <mergeCell ref="B79:E79"/>
    <mergeCell ref="F79:I79"/>
    <mergeCell ref="B80:E80"/>
    <mergeCell ref="F80:I80"/>
    <mergeCell ref="B81:E81"/>
    <mergeCell ref="F81:I81"/>
    <mergeCell ref="B82:E82"/>
    <mergeCell ref="F82:I82"/>
    <mergeCell ref="B83:E83"/>
    <mergeCell ref="F83:I83"/>
    <mergeCell ref="B84:E84"/>
    <mergeCell ref="F84:I84"/>
  </mergeCells>
  <conditionalFormatting sqref="E29:P40">
    <cfRule type="expression" priority="2" aboveAverage="0" equalAverage="0" bottom="0" percent="0" rank="0" text="" dxfId="5">
      <formula>E29="■"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2026-11-01T05:44:10Z</dcterms:created>
  <dc:creator>openpyxl</dc:creator>
  <dc:description/>
  <dc:language>en-US</dc:language>
  <cp:lastModifiedBy/>
  <dcterms:modified xsi:type="dcterms:W3CDTF">2026-11-01T05:44:11Z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